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Dropbox\Vivendo Investimentos\Links\Opções\"/>
    </mc:Choice>
  </mc:AlternateContent>
  <xr:revisionPtr revIDLastSave="0" documentId="13_ncr:1_{9EA9AC52-B600-4791-8381-3FB72DD51B70}" xr6:coauthVersionLast="47" xr6:coauthVersionMax="47" xr10:uidLastSave="{00000000-0000-0000-0000-000000000000}"/>
  <bookViews>
    <workbookView xWindow="67080" yWindow="3960" windowWidth="19440" windowHeight="11640" tabRatio="895" xr2:uid="{5114A948-6B19-4866-BC03-0981E22385BA}"/>
  </bookViews>
  <sheets>
    <sheet name="AVISOS" sheetId="11" r:id="rId1"/>
    <sheet name="LÇTO COBERTO CALL" sheetId="6" r:id="rId2"/>
    <sheet name="LÇTO COBERTO PUT" sheetId="10" r:id="rId3"/>
    <sheet name="LÇTO COBERTO PROTEGIDO" sheetId="1" r:id="rId4"/>
    <sheet name="BAHAMAS" sheetId="4" r:id="rId5"/>
    <sheet name="BAHAMAS 13.o" sheetId="5" r:id="rId6"/>
    <sheet name="TRAVA DE ALTA COM CALL" sheetId="3" r:id="rId7"/>
    <sheet name="TRAVA DE BAIXA COM CALL" sheetId="2" r:id="rId8"/>
    <sheet name="TRAVA DE ALTA COM PUT" sheetId="7" r:id="rId9"/>
    <sheet name="TRAVA DE BAIXA COM PUT" sheetId="8" r:id="rId10"/>
    <sheet name="VI VE" sheetId="9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0" l="1"/>
  <c r="F17" i="10" s="1"/>
  <c r="C24" i="10" s="1"/>
  <c r="C20" i="6"/>
  <c r="C38" i="10"/>
  <c r="D37" i="10"/>
  <c r="D48" i="10" s="1"/>
  <c r="E48" i="10" s="1"/>
  <c r="J20" i="10"/>
  <c r="K14" i="10"/>
  <c r="F13" i="10"/>
  <c r="G10" i="10" s="1"/>
  <c r="C12" i="10"/>
  <c r="D38" i="10" s="1"/>
  <c r="I4" i="10"/>
  <c r="C11" i="9"/>
  <c r="Q6" i="8"/>
  <c r="C50" i="8"/>
  <c r="D37" i="8"/>
  <c r="D48" i="8" s="1"/>
  <c r="C36" i="8"/>
  <c r="C47" i="8" s="1"/>
  <c r="I17" i="8"/>
  <c r="Q4" i="8" s="1"/>
  <c r="M12" i="8"/>
  <c r="U7" i="8" s="1"/>
  <c r="U21" i="8" s="1"/>
  <c r="E10" i="8"/>
  <c r="C16" i="8" s="1"/>
  <c r="C63" i="8"/>
  <c r="D62" i="8"/>
  <c r="D49" i="8"/>
  <c r="E18" i="8"/>
  <c r="U19" i="8"/>
  <c r="U21" i="7"/>
  <c r="U4" i="7"/>
  <c r="D45" i="7"/>
  <c r="C44" i="7"/>
  <c r="C32" i="7"/>
  <c r="C43" i="7" s="1"/>
  <c r="D31" i="7"/>
  <c r="D42" i="7" s="1"/>
  <c r="E26" i="7"/>
  <c r="I12" i="7"/>
  <c r="G44" i="7" s="1"/>
  <c r="L17" i="7"/>
  <c r="Q18" i="7" s="1"/>
  <c r="E10" i="7"/>
  <c r="Q24" i="7" s="1"/>
  <c r="Q26" i="7" s="1"/>
  <c r="D58" i="7"/>
  <c r="C57" i="7"/>
  <c r="E18" i="7"/>
  <c r="G45" i="7"/>
  <c r="Q8" i="7"/>
  <c r="Q10" i="7" s="1"/>
  <c r="U7" i="7"/>
  <c r="Q6" i="7"/>
  <c r="I5" i="10" l="1"/>
  <c r="D24" i="10" s="1"/>
  <c r="C60" i="8"/>
  <c r="Q8" i="8"/>
  <c r="D61" i="8"/>
  <c r="G18" i="8"/>
  <c r="G10" i="8" s="1"/>
  <c r="Q18" i="8"/>
  <c r="E32" i="8"/>
  <c r="K9" i="8"/>
  <c r="Q12" i="8"/>
  <c r="E47" i="8"/>
  <c r="E48" i="8" s="1"/>
  <c r="E49" i="8" s="1"/>
  <c r="E50" i="8" s="1"/>
  <c r="E60" i="8"/>
  <c r="E56" i="8"/>
  <c r="U4" i="8"/>
  <c r="Q24" i="8"/>
  <c r="Q26" i="8" s="1"/>
  <c r="E36" i="8"/>
  <c r="E37" i="8" s="1"/>
  <c r="D43" i="8"/>
  <c r="G49" i="8" s="1"/>
  <c r="E43" i="8"/>
  <c r="G50" i="8" s="1"/>
  <c r="C56" i="7"/>
  <c r="D37" i="7"/>
  <c r="E50" i="7" s="1"/>
  <c r="Q4" i="7"/>
  <c r="U19" i="7"/>
  <c r="J18" i="7"/>
  <c r="U5" i="7" s="1"/>
  <c r="U13" i="7" s="1"/>
  <c r="U14" i="7" s="1"/>
  <c r="D55" i="7"/>
  <c r="E55" i="7" s="1"/>
  <c r="E56" i="7" s="1"/>
  <c r="E57" i="7" s="1"/>
  <c r="E58" i="7" s="1"/>
  <c r="G10" i="7"/>
  <c r="G18" i="7"/>
  <c r="E31" i="7"/>
  <c r="E32" i="7" s="1"/>
  <c r="C16" i="7"/>
  <c r="Q12" i="7"/>
  <c r="Q14" i="7" s="1"/>
  <c r="Q16" i="7" s="1"/>
  <c r="E42" i="7"/>
  <c r="E43" i="7" s="1"/>
  <c r="E44" i="7" s="1"/>
  <c r="E45" i="7" s="1"/>
  <c r="E37" i="7"/>
  <c r="C50" i="2"/>
  <c r="D49" i="2"/>
  <c r="C63" i="2"/>
  <c r="D62" i="2"/>
  <c r="D59" i="4"/>
  <c r="C37" i="2"/>
  <c r="C48" i="2" s="1"/>
  <c r="C61" i="2" s="1"/>
  <c r="D36" i="2"/>
  <c r="D47" i="2" s="1"/>
  <c r="D58" i="3"/>
  <c r="C57" i="3"/>
  <c r="E50" i="3"/>
  <c r="D45" i="3"/>
  <c r="C44" i="3"/>
  <c r="D32" i="3"/>
  <c r="D43" i="3" s="1"/>
  <c r="D56" i="3" s="1"/>
  <c r="E10" i="3"/>
  <c r="C31" i="3"/>
  <c r="D69" i="5"/>
  <c r="D55" i="5"/>
  <c r="D56" i="5" s="1"/>
  <c r="C54" i="5"/>
  <c r="C68" i="5" s="1"/>
  <c r="D42" i="5"/>
  <c r="C41" i="5"/>
  <c r="C53" i="5" s="1"/>
  <c r="C67" i="5" s="1"/>
  <c r="D40" i="5"/>
  <c r="D52" i="5" s="1"/>
  <c r="D66" i="5" s="1"/>
  <c r="D39" i="5"/>
  <c r="D51" i="5" s="1"/>
  <c r="D65" i="5" s="1"/>
  <c r="C38" i="5"/>
  <c r="C50" i="5" s="1"/>
  <c r="C64" i="5" s="1"/>
  <c r="D58" i="1"/>
  <c r="D47" i="1"/>
  <c r="C46" i="1"/>
  <c r="C57" i="1" s="1"/>
  <c r="D45" i="1"/>
  <c r="D56" i="1" s="1"/>
  <c r="D36" i="1"/>
  <c r="C35" i="1"/>
  <c r="D34" i="1"/>
  <c r="C33" i="1"/>
  <c r="C44" i="1" s="1"/>
  <c r="C55" i="1" s="1"/>
  <c r="D48" i="6"/>
  <c r="G8" i="6"/>
  <c r="C18" i="6" s="1"/>
  <c r="D38" i="6"/>
  <c r="D37" i="6"/>
  <c r="D47" i="6" s="1"/>
  <c r="C36" i="6"/>
  <c r="C46" i="6" s="1"/>
  <c r="D74" i="4"/>
  <c r="D73" i="4"/>
  <c r="C58" i="4"/>
  <c r="C72" i="4" s="1"/>
  <c r="C54" i="4"/>
  <c r="C68" i="4" s="1"/>
  <c r="D45" i="4"/>
  <c r="C44" i="4"/>
  <c r="C57" i="4" s="1"/>
  <c r="C71" i="4" s="1"/>
  <c r="D43" i="4"/>
  <c r="D56" i="4" s="1"/>
  <c r="D70" i="4" s="1"/>
  <c r="D42" i="4"/>
  <c r="D55" i="4" s="1"/>
  <c r="D69" i="4" s="1"/>
  <c r="C41" i="4"/>
  <c r="J21" i="1"/>
  <c r="J23" i="1"/>
  <c r="J27" i="1"/>
  <c r="J28" i="1" s="1"/>
  <c r="E14" i="5"/>
  <c r="C20" i="5" s="1"/>
  <c r="R22" i="5"/>
  <c r="M22" i="5"/>
  <c r="R4" i="5" s="1"/>
  <c r="J21" i="5"/>
  <c r="V4" i="5" s="1"/>
  <c r="R20" i="5"/>
  <c r="V9" i="5"/>
  <c r="R6" i="5"/>
  <c r="V9" i="4"/>
  <c r="R22" i="4"/>
  <c r="R20" i="4"/>
  <c r="R6" i="4"/>
  <c r="E14" i="4"/>
  <c r="F18" i="4" s="1"/>
  <c r="F16" i="4" s="1"/>
  <c r="U7" i="3"/>
  <c r="U4" i="3"/>
  <c r="Q8" i="3"/>
  <c r="Q6" i="3"/>
  <c r="Q4" i="3"/>
  <c r="F10" i="6"/>
  <c r="O20" i="6"/>
  <c r="O23" i="6" s="1"/>
  <c r="O18" i="6"/>
  <c r="O14" i="6"/>
  <c r="O6" i="6"/>
  <c r="B23" i="6"/>
  <c r="I4" i="6"/>
  <c r="I5" i="6" s="1"/>
  <c r="F12" i="6"/>
  <c r="I14" i="6" s="1"/>
  <c r="J12" i="6"/>
  <c r="O4" i="6" s="1"/>
  <c r="P6" i="1"/>
  <c r="E37" i="10" l="1"/>
  <c r="E38" i="10" s="1"/>
  <c r="E61" i="8"/>
  <c r="E62" i="8" s="1"/>
  <c r="E63" i="8" s="1"/>
  <c r="U18" i="8"/>
  <c r="U27" i="8" s="1"/>
  <c r="I27" i="8"/>
  <c r="U5" i="8"/>
  <c r="U13" i="8"/>
  <c r="U14" i="8" s="1"/>
  <c r="U15" i="8" s="1"/>
  <c r="U28" i="8"/>
  <c r="U29" i="8" s="1"/>
  <c r="Q10" i="8"/>
  <c r="Q14" i="8" s="1"/>
  <c r="Q16" i="8" s="1"/>
  <c r="I28" i="7"/>
  <c r="U15" i="7"/>
  <c r="U18" i="7"/>
  <c r="U27" i="7" s="1"/>
  <c r="U28" i="7" s="1"/>
  <c r="U29" i="7" s="1"/>
  <c r="O25" i="6"/>
  <c r="E47" i="2"/>
  <c r="E48" i="2" s="1"/>
  <c r="E49" i="2" s="1"/>
  <c r="E50" i="2" s="1"/>
  <c r="D60" i="2"/>
  <c r="E60" i="2" s="1"/>
  <c r="E61" i="2" s="1"/>
  <c r="E62" i="2" s="1"/>
  <c r="E63" i="2" s="1"/>
  <c r="Q10" i="3"/>
  <c r="E31" i="3"/>
  <c r="E32" i="3" s="1"/>
  <c r="C42" i="3"/>
  <c r="C55" i="3" s="1"/>
  <c r="R24" i="5"/>
  <c r="R16" i="5"/>
  <c r="G55" i="5"/>
  <c r="G56" i="5"/>
  <c r="H17" i="4"/>
  <c r="E68" i="4"/>
  <c r="E69" i="4" s="1"/>
  <c r="E70" i="4" s="1"/>
  <c r="E71" i="4" s="1"/>
  <c r="E72" i="4" s="1"/>
  <c r="E73" i="4" s="1"/>
  <c r="E74" i="4" s="1"/>
  <c r="E36" i="2"/>
  <c r="E37" i="2" s="1"/>
  <c r="E64" i="5"/>
  <c r="E65" i="5" s="1"/>
  <c r="E66" i="5" s="1"/>
  <c r="E67" i="5" s="1"/>
  <c r="E68" i="5" s="1"/>
  <c r="E69" i="5" s="1"/>
  <c r="E50" i="5"/>
  <c r="E51" i="5" s="1"/>
  <c r="E52" i="5" s="1"/>
  <c r="E53" i="5" s="1"/>
  <c r="E54" i="5" s="1"/>
  <c r="E55" i="5" s="1"/>
  <c r="E56" i="5" s="1"/>
  <c r="E38" i="5"/>
  <c r="E39" i="5" s="1"/>
  <c r="E40" i="5" s="1"/>
  <c r="E41" i="5" s="1"/>
  <c r="E42" i="5" s="1"/>
  <c r="E44" i="1"/>
  <c r="E45" i="1" s="1"/>
  <c r="E46" i="1" s="1"/>
  <c r="E47" i="1" s="1"/>
  <c r="E33" i="1"/>
  <c r="E34" i="1" s="1"/>
  <c r="E35" i="1" s="1"/>
  <c r="E36" i="1" s="1"/>
  <c r="E36" i="6"/>
  <c r="E37" i="6" s="1"/>
  <c r="E38" i="6" s="1"/>
  <c r="E46" i="6"/>
  <c r="E47" i="6" s="1"/>
  <c r="E54" i="4"/>
  <c r="E55" i="4" s="1"/>
  <c r="E56" i="4" s="1"/>
  <c r="E57" i="4" s="1"/>
  <c r="E58" i="4" s="1"/>
  <c r="E59" i="4" s="1"/>
  <c r="E41" i="4"/>
  <c r="E42" i="4" s="1"/>
  <c r="E43" i="4" s="1"/>
  <c r="E44" i="4" s="1"/>
  <c r="E45" i="4" s="1"/>
  <c r="H8" i="5"/>
  <c r="V5" i="5"/>
  <c r="V19" i="5" s="1"/>
  <c r="R24" i="4"/>
  <c r="I24" i="4" s="1"/>
  <c r="K21" i="1"/>
  <c r="F18" i="5"/>
  <c r="R26" i="5" s="1"/>
  <c r="C20" i="4"/>
  <c r="R12" i="4"/>
  <c r="R14" i="4" s="1"/>
  <c r="H8" i="4"/>
  <c r="C23" i="4" s="1"/>
  <c r="O12" i="6"/>
  <c r="O8" i="6"/>
  <c r="O10" i="6" s="1"/>
  <c r="D18" i="6"/>
  <c r="D20" i="6"/>
  <c r="F20" i="1"/>
  <c r="K14" i="1" s="1"/>
  <c r="F18" i="1"/>
  <c r="J25" i="1" s="1"/>
  <c r="F16" i="1"/>
  <c r="D16" i="1"/>
  <c r="L12" i="1"/>
  <c r="H59" i="1" s="1"/>
  <c r="F14" i="1"/>
  <c r="D14" i="1"/>
  <c r="J10" i="1"/>
  <c r="H58" i="1" s="1"/>
  <c r="J21" i="4"/>
  <c r="G58" i="4" s="1"/>
  <c r="M22" i="4"/>
  <c r="G59" i="4" s="1"/>
  <c r="M12" i="2"/>
  <c r="I17" i="2"/>
  <c r="E10" i="2"/>
  <c r="Q12" i="2" s="1"/>
  <c r="E18" i="2"/>
  <c r="L17" i="3"/>
  <c r="I12" i="3"/>
  <c r="E18" i="3"/>
  <c r="R28" i="5" l="1"/>
  <c r="R30" i="5" s="1"/>
  <c r="H17" i="5" s="1"/>
  <c r="J28" i="5" s="1"/>
  <c r="E56" i="2"/>
  <c r="E43" i="2"/>
  <c r="G50" i="2" s="1"/>
  <c r="C16" i="2"/>
  <c r="G18" i="2" s="1"/>
  <c r="Q24" i="2"/>
  <c r="Q26" i="2" s="1"/>
  <c r="U21" i="2"/>
  <c r="Q18" i="2"/>
  <c r="D43" i="2"/>
  <c r="G49" i="2" s="1"/>
  <c r="Q6" i="2"/>
  <c r="E32" i="2"/>
  <c r="U7" i="2"/>
  <c r="U4" i="2"/>
  <c r="E42" i="3"/>
  <c r="E43" i="3" s="1"/>
  <c r="E44" i="3" s="1"/>
  <c r="E45" i="3" s="1"/>
  <c r="E55" i="3"/>
  <c r="E56" i="3" s="1"/>
  <c r="E57" i="3" s="1"/>
  <c r="E58" i="3" s="1"/>
  <c r="E37" i="3"/>
  <c r="G45" i="3"/>
  <c r="D37" i="3"/>
  <c r="Q18" i="3"/>
  <c r="E26" i="3"/>
  <c r="G44" i="3"/>
  <c r="U21" i="3"/>
  <c r="U19" i="3"/>
  <c r="G28" i="4"/>
  <c r="E48" i="6"/>
  <c r="R4" i="4"/>
  <c r="V5" i="4"/>
  <c r="C25" i="4"/>
  <c r="R16" i="4"/>
  <c r="V4" i="4"/>
  <c r="V19" i="4" s="1"/>
  <c r="V20" i="4" s="1"/>
  <c r="V21" i="4" s="1"/>
  <c r="P4" i="1"/>
  <c r="S4" i="1"/>
  <c r="F16" i="5"/>
  <c r="R12" i="5"/>
  <c r="R14" i="5" s="1"/>
  <c r="V20" i="5"/>
  <c r="V21" i="5" s="1"/>
  <c r="Q24" i="3"/>
  <c r="Q26" i="3" s="1"/>
  <c r="C16" i="3"/>
  <c r="G18" i="3" s="1"/>
  <c r="G10" i="3" s="1"/>
  <c r="Q12" i="3"/>
  <c r="Q14" i="3" s="1"/>
  <c r="Q16" i="3" s="1"/>
  <c r="Q8" i="2"/>
  <c r="U19" i="2"/>
  <c r="Q4" i="2"/>
  <c r="P17" i="1"/>
  <c r="P14" i="1"/>
  <c r="S5" i="1"/>
  <c r="H8" i="1"/>
  <c r="S10" i="1" s="1"/>
  <c r="P9" i="1"/>
  <c r="P10" i="1" s="1"/>
  <c r="P11" i="1" s="1"/>
  <c r="J19" i="1"/>
  <c r="K19" i="1" s="1"/>
  <c r="P12" i="1" s="1"/>
  <c r="H13" i="1"/>
  <c r="S11" i="1" s="1"/>
  <c r="J18" i="3"/>
  <c r="K9" i="2"/>
  <c r="G10" i="2"/>
  <c r="Q10" i="2" l="1"/>
  <c r="I27" i="2"/>
  <c r="Q14" i="2"/>
  <c r="Q16" i="2" s="1"/>
  <c r="U18" i="2"/>
  <c r="U27" i="2" s="1"/>
  <c r="U28" i="2" s="1"/>
  <c r="U29" i="2" s="1"/>
  <c r="U5" i="2"/>
  <c r="U13" i="2" s="1"/>
  <c r="U14" i="2" s="1"/>
  <c r="U15" i="2" s="1"/>
  <c r="E55" i="1"/>
  <c r="E56" i="1" s="1"/>
  <c r="E57" i="1" s="1"/>
  <c r="E58" i="1" s="1"/>
  <c r="C23" i="5"/>
  <c r="C25" i="5"/>
  <c r="U18" i="3"/>
  <c r="U27" i="3" s="1"/>
  <c r="U28" i="3" s="1"/>
  <c r="U29" i="3" s="1"/>
  <c r="U5" i="3"/>
  <c r="U13" i="3" s="1"/>
  <c r="U14" i="3" s="1"/>
  <c r="U15" i="3" s="1"/>
  <c r="I28" i="3"/>
  <c r="D6" i="9"/>
  <c r="D11" i="9" s="1"/>
  <c r="C13" i="9"/>
</calcChain>
</file>

<file path=xl/sharedStrings.xml><?xml version="1.0" encoding="utf-8"?>
<sst xmlns="http://schemas.openxmlformats.org/spreadsheetml/2006/main" count="631" uniqueCount="221">
  <si>
    <t>STK</t>
  </si>
  <si>
    <t>PREÇO</t>
  </si>
  <si>
    <t>PRÊMIO</t>
  </si>
  <si>
    <t>FINANCEIRO</t>
  </si>
  <si>
    <t>C/EX</t>
  </si>
  <si>
    <t>S/EX</t>
  </si>
  <si>
    <t>até</t>
  </si>
  <si>
    <t>Tx Período</t>
  </si>
  <si>
    <t>Tx. Mês</t>
  </si>
  <si>
    <t>Qt. Comprada</t>
  </si>
  <si>
    <t>Data Vencimento</t>
  </si>
  <si>
    <t>Valor Investido</t>
  </si>
  <si>
    <t>VENDA CALL</t>
  </si>
  <si>
    <t>COMPRA PUT</t>
  </si>
  <si>
    <t>COMPRA AÇÃO</t>
  </si>
  <si>
    <t>COMPRA CALL</t>
  </si>
  <si>
    <t>COMPRA CALL MAIOR</t>
  </si>
  <si>
    <t>VENDA CALL MAIOR</t>
  </si>
  <si>
    <t>VENDA DE CALL</t>
  </si>
  <si>
    <t>COMPRA DE AÇÃO</t>
  </si>
  <si>
    <t>VENDA CALL ATM</t>
  </si>
  <si>
    <t>VENDA PUT ATM</t>
  </si>
  <si>
    <t>PUT (STK) MODERADO</t>
  </si>
  <si>
    <t>PUT (STK) CONSERVADOR</t>
  </si>
  <si>
    <t>Taxa na Renda</t>
  </si>
  <si>
    <t>TICKER</t>
  </si>
  <si>
    <t>Renda Gerada</t>
  </si>
  <si>
    <t>CENÁRIOS</t>
  </si>
  <si>
    <t>Preço da Ação</t>
  </si>
  <si>
    <t>PUT vira pó</t>
  </si>
  <si>
    <t>Preço Médio de Compra</t>
  </si>
  <si>
    <t>Lucro por ação</t>
  </si>
  <si>
    <t>%Lucro por ação</t>
  </si>
  <si>
    <t>% Lucro por ação am</t>
  </si>
  <si>
    <t>Preço da Ação maior que</t>
  </si>
  <si>
    <t>Preço da Ação menor que</t>
  </si>
  <si>
    <t>Vai ser exercido em CALL</t>
  </si>
  <si>
    <t>Lucro por Ação</t>
  </si>
  <si>
    <t>Nesse caso você vai exercer sua PUT, ou seja vai receber o dinheiro de volta para poder comprar ações e fazer a operação novamente</t>
  </si>
  <si>
    <t>Preço da Ação entre</t>
  </si>
  <si>
    <t>PUT (STK) ZÉ RUELA - PROCURA O STK MAIS PRÓXIMO DO PREÇO DA AÇÃO</t>
  </si>
  <si>
    <t>PM de Compra</t>
  </si>
  <si>
    <t>Data</t>
  </si>
  <si>
    <t>Você gerou renda entre</t>
  </si>
  <si>
    <t>Você possui as ações a um preço medio que permite uma nova operação no mês posterior</t>
  </si>
  <si>
    <t xml:space="preserve">VENDA CALL </t>
  </si>
  <si>
    <t>Sem Exercício</t>
  </si>
  <si>
    <t>Com Exercício</t>
  </si>
  <si>
    <t>Tx. Período</t>
  </si>
  <si>
    <t>Vai ser exercido na CALL</t>
  </si>
  <si>
    <t>Preço Médio de Compra (PM)</t>
  </si>
  <si>
    <t>% do Lucro por ação</t>
  </si>
  <si>
    <t xml:space="preserve">Preço da Ação Maior que </t>
  </si>
  <si>
    <t>PREENCHER OS QUADROS EM VERMELHO</t>
  </si>
  <si>
    <t xml:space="preserve">Preço da Ação Menor que </t>
  </si>
  <si>
    <t>Preço de Compra</t>
  </si>
  <si>
    <t>Ganho por ação com a venda da CALL</t>
  </si>
  <si>
    <t>% Lucro por ação</t>
  </si>
  <si>
    <t>CONSIDERAÇÕES</t>
  </si>
  <si>
    <t>O risco desta operação é a ação desvalorizar e seu preço médio ficar muito elevado para um novo lançamento</t>
  </si>
  <si>
    <t>Para Evitar o Risco</t>
  </si>
  <si>
    <t>1) Faça a operação de GERAÇÃO DE RENDA</t>
  </si>
  <si>
    <t>2) Compre mais ações e faça um novo lançamento apenas nas quantidades que comprou</t>
  </si>
  <si>
    <t>Sem IR                              Sem Corretagem</t>
  </si>
  <si>
    <t>Sem IR                                    Sem Corretagem</t>
  </si>
  <si>
    <t>Quanto mais próximo o STRIKE da opção do preço da ação, maior o ganho percentual</t>
  </si>
  <si>
    <t>3) Compre mais ações para baixar seu preço médio e faça um novo lançamento</t>
  </si>
  <si>
    <t>Fazendo essa operação, você se protege de uma queda das ações, porque se cair você exercerá sua PUT e terá dinheiro para uma nova operação</t>
  </si>
  <si>
    <t>Essa proteção da PUT, reduz seu ganho percentual</t>
  </si>
  <si>
    <t>Investi na Operação</t>
  </si>
  <si>
    <t>Resultado</t>
  </si>
  <si>
    <t>Resultado Financeiro</t>
  </si>
  <si>
    <t xml:space="preserve">Preço da Ação menor que </t>
  </si>
  <si>
    <t>Call Vendida vira Pó</t>
  </si>
  <si>
    <t>Resultado da Operação por Ação</t>
  </si>
  <si>
    <t>Reultado Financeiro</t>
  </si>
  <si>
    <t>Exercer Call Comprada</t>
  </si>
  <si>
    <t>Exemplo</t>
  </si>
  <si>
    <t>Lucro  por ação</t>
  </si>
  <si>
    <r>
      <t xml:space="preserve">O </t>
    </r>
    <r>
      <rPr>
        <b/>
        <sz val="11"/>
        <color theme="1"/>
        <rFont val="Calibri"/>
        <family val="2"/>
        <scheme val="minor"/>
      </rPr>
      <t>Lucro</t>
    </r>
    <r>
      <rPr>
        <sz val="11"/>
        <color theme="1"/>
        <rFont val="Calibri"/>
        <family val="2"/>
        <scheme val="minor"/>
      </rPr>
      <t xml:space="preserve"> vai variar dependendo do valor da ação</t>
    </r>
  </si>
  <si>
    <r>
      <t xml:space="preserve">O </t>
    </r>
    <r>
      <rPr>
        <b/>
        <sz val="11"/>
        <color theme="1"/>
        <rFont val="Calibri"/>
        <family val="2"/>
        <scheme val="minor"/>
      </rPr>
      <t>Prejuízo</t>
    </r>
    <r>
      <rPr>
        <sz val="11"/>
        <color theme="1"/>
        <rFont val="Calibri"/>
        <family val="2"/>
        <scheme val="minor"/>
      </rPr>
      <t xml:space="preserve"> vai variar dependendo do valor da ação</t>
    </r>
  </si>
  <si>
    <t>O risco desta operação é você baixar muito o Strike da sua PUT e ter uma Renda muito Negativa</t>
  </si>
  <si>
    <t>Sem IR                                   Sem Corretagem</t>
  </si>
  <si>
    <t>COMPRA PUT OTM</t>
  </si>
  <si>
    <t>Lucro Por Ação</t>
  </si>
  <si>
    <t xml:space="preserve">Recebi da Operação </t>
  </si>
  <si>
    <t xml:space="preserve">Resultado Financeiro </t>
  </si>
  <si>
    <t>Resuldado da Operação</t>
  </si>
  <si>
    <t>Prejuízo Por ação</t>
  </si>
  <si>
    <t>Prejuízo por ação</t>
  </si>
  <si>
    <t>Para montar essa operação você receberá um valor que é exatamente seu lucro máximo</t>
  </si>
  <si>
    <t>Para montar essa operação você investirá um valor que é exatamente o seu prejuízo máximo .</t>
  </si>
  <si>
    <r>
      <t xml:space="preserve">É uma operação que poderá ser realizada quando você </t>
    </r>
    <r>
      <rPr>
        <b/>
        <sz val="11"/>
        <color theme="1"/>
        <rFont val="Calibri"/>
        <family val="2"/>
        <scheme val="minor"/>
      </rPr>
      <t>acreditar</t>
    </r>
    <r>
      <rPr>
        <sz val="11"/>
        <color theme="1"/>
        <rFont val="Calibri"/>
        <family val="2"/>
        <scheme val="minor"/>
      </rPr>
      <t xml:space="preserve"> que o mercado está em tendência de </t>
    </r>
    <r>
      <rPr>
        <b/>
        <sz val="11"/>
        <color theme="1"/>
        <rFont val="Calibri"/>
        <family val="2"/>
        <scheme val="minor"/>
      </rPr>
      <t>BAIXA</t>
    </r>
  </si>
  <si>
    <r>
      <t xml:space="preserve">É uma operação que poderá ser realizada quando você </t>
    </r>
    <r>
      <rPr>
        <b/>
        <sz val="11"/>
        <color theme="1"/>
        <rFont val="Calibri"/>
        <family val="2"/>
        <scheme val="minor"/>
      </rPr>
      <t>acreditar</t>
    </r>
    <r>
      <rPr>
        <sz val="11"/>
        <color theme="1"/>
        <rFont val="Calibri"/>
        <family val="2"/>
        <scheme val="minor"/>
      </rPr>
      <t xml:space="preserve"> que o mercado está em tendência de </t>
    </r>
    <r>
      <rPr>
        <b/>
        <sz val="11"/>
        <color theme="1"/>
        <rFont val="Calibri"/>
        <family val="2"/>
        <scheme val="minor"/>
      </rPr>
      <t>ALTA</t>
    </r>
  </si>
  <si>
    <t>SIMULAÇÃO</t>
  </si>
  <si>
    <t>PM da Compra</t>
  </si>
  <si>
    <t xml:space="preserve">Preço da Ação maior que </t>
  </si>
  <si>
    <t>PUT Vendida vira pó</t>
  </si>
  <si>
    <t>PUT comprada vira pó</t>
  </si>
  <si>
    <t>Vou ser Exercido na CALL de</t>
  </si>
  <si>
    <t>Sem IR                                 Sem Corretagem</t>
  </si>
  <si>
    <t>CALL vendida vira pó</t>
  </si>
  <si>
    <t>Vou ser exercido na PUT vendida</t>
  </si>
  <si>
    <t>Vou exercer a PUT comprada</t>
  </si>
  <si>
    <t>Lucro/Prejuízo por ação</t>
  </si>
  <si>
    <t>Saldo Financeiro</t>
  </si>
  <si>
    <t>CALL comprada vira pó</t>
  </si>
  <si>
    <r>
      <rPr>
        <b/>
        <sz val="11"/>
        <color theme="1"/>
        <rFont val="Calibri"/>
        <family val="2"/>
        <scheme val="minor"/>
      </rPr>
      <t>Lucro</t>
    </r>
    <r>
      <rPr>
        <sz val="11"/>
        <color theme="1"/>
        <rFont val="Calibri"/>
        <family val="2"/>
        <scheme val="minor"/>
      </rPr>
      <t xml:space="preserve"> Por Ação</t>
    </r>
  </si>
  <si>
    <r>
      <rPr>
        <b/>
        <sz val="11"/>
        <color theme="1"/>
        <rFont val="Calibri"/>
        <family val="2"/>
        <scheme val="minor"/>
      </rPr>
      <t>Lucro/Prejuízo</t>
    </r>
    <r>
      <rPr>
        <sz val="11"/>
        <color theme="1"/>
        <rFont val="Calibri"/>
        <family val="2"/>
        <scheme val="minor"/>
      </rPr>
      <t xml:space="preserve"> por ação</t>
    </r>
  </si>
  <si>
    <r>
      <rPr>
        <b/>
        <sz val="11"/>
        <color theme="1"/>
        <rFont val="Calibri"/>
        <family val="2"/>
        <scheme val="minor"/>
      </rPr>
      <t>Lucro/Prejuízo</t>
    </r>
    <r>
      <rPr>
        <sz val="11"/>
        <color theme="1"/>
        <rFont val="Calibri"/>
        <family val="2"/>
        <scheme val="minor"/>
      </rPr>
      <t xml:space="preserve"> por ação vai variar dependendeo do preço da ação</t>
    </r>
  </si>
  <si>
    <t>Vendo minhas ações pelo preço de mercado para pagar a PUT</t>
  </si>
  <si>
    <t>% Renda Máxima</t>
  </si>
  <si>
    <t>% Renda Mínima</t>
  </si>
  <si>
    <t>Atenção aos custos de Corretagem</t>
  </si>
  <si>
    <t>4) Venda PUT na operação seguinte</t>
  </si>
  <si>
    <t>CALL vira pó</t>
  </si>
  <si>
    <t>CALL vira Pó</t>
  </si>
  <si>
    <t>Vai exercer a PUT</t>
  </si>
  <si>
    <t>Faça a operação BAHAMAS 13.o</t>
  </si>
  <si>
    <t>COMPRA 2 X PUT OTM</t>
  </si>
  <si>
    <t>Nesta operação você não corre o risco de ficar com o papel com preço médio elevado, pois tem PUT para exercer e se protege da queda</t>
  </si>
  <si>
    <t>1) Vai catar coquinho na praia em noite enluarada</t>
  </si>
  <si>
    <t>2) Fica na poupança</t>
  </si>
  <si>
    <t>3) Casa com o Chico e nunca mais veja um boleto na vida</t>
  </si>
  <si>
    <t>Valor Recebido</t>
  </si>
  <si>
    <t>Vou exercer a CALL de</t>
  </si>
  <si>
    <t xml:space="preserve">Vou ser exercido na CALL de </t>
  </si>
  <si>
    <t>Vou ser exercido na CALL de</t>
  </si>
  <si>
    <t>CALL comprada Vira pó</t>
  </si>
  <si>
    <r>
      <rPr>
        <b/>
        <sz val="11"/>
        <color theme="1"/>
        <rFont val="Calibri"/>
        <family val="2"/>
        <scheme val="minor"/>
      </rPr>
      <t>Lucro/Prejuízo</t>
    </r>
    <r>
      <rPr>
        <sz val="11"/>
        <color theme="1"/>
        <rFont val="Calibri"/>
        <family val="2"/>
        <scheme val="minor"/>
      </rPr>
      <t xml:space="preserve"> por ação vai variar dependende do preço da ação</t>
    </r>
  </si>
  <si>
    <t>Histórico</t>
  </si>
  <si>
    <t>Débito</t>
  </si>
  <si>
    <t>Crédito</t>
  </si>
  <si>
    <t>Saldo</t>
  </si>
  <si>
    <t>Exercício de CALL</t>
  </si>
  <si>
    <t>Venda de Ação</t>
  </si>
  <si>
    <t>Op Compa Ação</t>
  </si>
  <si>
    <t>Op Venda CALL</t>
  </si>
  <si>
    <t>Op venda de PUT</t>
  </si>
  <si>
    <t>Op Compra de PUT</t>
  </si>
  <si>
    <t>Exercico em CALL</t>
  </si>
  <si>
    <t xml:space="preserve">Ação </t>
  </si>
  <si>
    <t>FINANCEIRO DO EXERCÍCIO EM CALL</t>
  </si>
  <si>
    <t>FINANCEIRO EXERCÍCIO EM PUT VENDIDA</t>
  </si>
  <si>
    <t>FINANCEIRO EXERCÍCIO EM PUT VENDIDA E COMPRADA</t>
  </si>
  <si>
    <t>Exercício em PUT Comprada</t>
  </si>
  <si>
    <t>Venda da Ação</t>
  </si>
  <si>
    <t>Vai depender do Preço da ação para apurar Resultado</t>
  </si>
  <si>
    <t>Venda de CALL</t>
  </si>
  <si>
    <t>Compra de Ação</t>
  </si>
  <si>
    <t>FINANCEIRO SEM EXERCÍCIO EM CALL</t>
  </si>
  <si>
    <t>Ação</t>
  </si>
  <si>
    <t>Compra da PUT</t>
  </si>
  <si>
    <t>Exercício da CALL</t>
  </si>
  <si>
    <t>FINANCEIRO DO EXERCÍCIO EM PUT</t>
  </si>
  <si>
    <t>Exercício da PUT</t>
  </si>
  <si>
    <t>FINANCEIRO SEM EXERCÍCIO EM PUT SEM EXERCÍCIO EM CALL</t>
  </si>
  <si>
    <t>FINANCEIRO DO EXERCÍCIO NA PUT VENDIDA</t>
  </si>
  <si>
    <t>Venda da Ação (PUT)</t>
  </si>
  <si>
    <t>FINANCEIRO DO EXERCÍCIO NA PUT VENDIDA E COMPRADA</t>
  </si>
  <si>
    <t>Exercido em PUT</t>
  </si>
  <si>
    <t>Exercido em CALL</t>
  </si>
  <si>
    <t>Op Compra da CALL</t>
  </si>
  <si>
    <t>Op Venda da CALL</t>
  </si>
  <si>
    <t xml:space="preserve">FINANCEIRO </t>
  </si>
  <si>
    <t>Preço da ação menor que</t>
  </si>
  <si>
    <t>Exercício na CALL</t>
  </si>
  <si>
    <t>Preço da ação entre</t>
  </si>
  <si>
    <t>Preço da ação maior que</t>
  </si>
  <si>
    <t>Exercido na CALL</t>
  </si>
  <si>
    <t>Exercício em CALL</t>
  </si>
  <si>
    <t>Vendo Ação</t>
  </si>
  <si>
    <t>Exercido em PUT Vendida</t>
  </si>
  <si>
    <t>Exercício da 2 x PUT</t>
  </si>
  <si>
    <t>Op Compra de 2 x  PUT</t>
  </si>
  <si>
    <t>Venda Ação</t>
  </si>
  <si>
    <t>A Trava é desmontada antes do exercíco das opções para evitar corretagem de mesa</t>
  </si>
  <si>
    <t>A Trava deverá ser desmontada antes do exercício das opções para evitar corretagem de mesa</t>
  </si>
  <si>
    <t>PM da Operação</t>
  </si>
  <si>
    <t>COMPRA DE PUT</t>
  </si>
  <si>
    <t>VENDA DE PUT</t>
  </si>
  <si>
    <t>COMPRA DE PUT STRIKE MENOR</t>
  </si>
  <si>
    <t>Preço da ação MAIOR que</t>
  </si>
  <si>
    <t>Op Compra da PUT</t>
  </si>
  <si>
    <t>Op Venda da PUT</t>
  </si>
  <si>
    <t>Exercído na PUT</t>
  </si>
  <si>
    <t>Preço da ação MENOR que</t>
  </si>
  <si>
    <t>Exercido na PUT</t>
  </si>
  <si>
    <t>Exercer na PUT</t>
  </si>
  <si>
    <t>Preço da Ação Menor que</t>
  </si>
  <si>
    <t>Vou ser Exercido na PUT</t>
  </si>
  <si>
    <t>Vou Exercer a PUT</t>
  </si>
  <si>
    <t>Prejuízo por Ação</t>
  </si>
  <si>
    <t>Exercfido na PUT Vendida</t>
  </si>
  <si>
    <t>Exercido na PUT Vendida</t>
  </si>
  <si>
    <t>Prejuízo  por ação</t>
  </si>
  <si>
    <t>VENDA DE PUT COM STRIKE MENOR</t>
  </si>
  <si>
    <t>Op Venda de PUT</t>
  </si>
  <si>
    <t>Exercer a PUT</t>
  </si>
  <si>
    <t>Exercer a PUT Comprada</t>
  </si>
  <si>
    <t>Vou Exercer a PUT Comprada</t>
  </si>
  <si>
    <t>Gastei na Operação</t>
  </si>
  <si>
    <t>Put Comprada vira pó</t>
  </si>
  <si>
    <t>Vou exercer a PUT</t>
  </si>
  <si>
    <t>Lucro Por ação</t>
  </si>
  <si>
    <t>A PUT vendida vira pó</t>
  </si>
  <si>
    <t>A Put Vendida vira pó</t>
  </si>
  <si>
    <t>Strike da Opção</t>
  </si>
  <si>
    <t>Prêmio da Opção</t>
  </si>
  <si>
    <t>Valor Intrinseco (VI)</t>
  </si>
  <si>
    <t>Valor Extrinseco (VE)</t>
  </si>
  <si>
    <t>GARANTIA</t>
  </si>
  <si>
    <t xml:space="preserve">QUANTIDADE </t>
  </si>
  <si>
    <t>Saque do Mercado</t>
  </si>
  <si>
    <t>FINANCEIRO DO EXERCÍCIO DE PUT</t>
  </si>
  <si>
    <t>Venda da PUT</t>
  </si>
  <si>
    <t>FINANCEIRO SEM EXERCÍCIO DE PUT</t>
  </si>
  <si>
    <t>Operação Alavancada</t>
  </si>
  <si>
    <t>O risco desta operação é a ação desvalorizar e você ser exercido e precisará comprar as ações</t>
  </si>
  <si>
    <t>Valor Intrínseco</t>
  </si>
  <si>
    <t>Valor Extrínseco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</si>
</sst>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6"/>
      <color theme="7" tint="-0.249977111117893"/>
      <name val="Impact"/>
      <family val="2"/>
    </font>
    <font>
      <b/>
      <sz val="18"/>
      <color theme="7" tint="-0.249977111117893"/>
      <name val="Impact"/>
      <family val="2"/>
    </font>
    <font>
      <sz val="28"/>
      <color theme="1"/>
      <name val="Impact"/>
      <family val="2"/>
    </font>
    <font>
      <b/>
      <sz val="10"/>
      <color theme="0"/>
      <name val="Calibri"/>
      <family val="2"/>
      <scheme val="minor"/>
    </font>
    <font>
      <sz val="18"/>
      <color theme="7" tint="-0.249977111117893"/>
      <name val="Impact"/>
      <family val="2"/>
    </font>
    <font>
      <sz val="11"/>
      <color theme="7" tint="-0.249977111117893"/>
      <name val="Calibri"/>
      <family val="2"/>
      <scheme val="minor"/>
    </font>
    <font>
      <sz val="9"/>
      <color theme="7" tint="-0.249977111117893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20"/>
      <color theme="7" tint="-0.249977111117893"/>
      <name val="Impact"/>
      <family val="2"/>
    </font>
    <font>
      <b/>
      <sz val="9"/>
      <color theme="1" tint="0.34998626667073579"/>
      <name val="Calibri"/>
      <family val="2"/>
      <scheme val="minor"/>
    </font>
    <font>
      <b/>
      <sz val="14"/>
      <color theme="7" tint="-0.249977111117893"/>
      <name val="Impact"/>
      <family val="2"/>
    </font>
    <font>
      <b/>
      <sz val="11"/>
      <color theme="7" tint="-0.249977111117893"/>
      <name val="Impact"/>
      <family val="2"/>
    </font>
    <font>
      <sz val="9"/>
      <color theme="0" tint="-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sz val="11"/>
      <color theme="1"/>
      <name val="Impact"/>
      <family val="2"/>
    </font>
    <font>
      <sz val="11"/>
      <color theme="7" tint="-0.499984740745262"/>
      <name val="Impac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6">
    <xf numFmtId="0" fontId="0" fillId="0" borderId="0" xfId="0"/>
    <xf numFmtId="0" fontId="2" fillId="3" borderId="0" xfId="0" applyFont="1" applyFill="1" applyAlignment="1">
      <alignment horizontal="center"/>
    </xf>
    <xf numFmtId="44" fontId="8" fillId="3" borderId="0" xfId="1" applyFont="1" applyFill="1" applyAlignment="1" applyProtection="1">
      <alignment horizontal="center"/>
    </xf>
    <xf numFmtId="44" fontId="8" fillId="5" borderId="0" xfId="1" applyFont="1" applyFill="1" applyProtection="1"/>
    <xf numFmtId="44" fontId="9" fillId="0" borderId="1" xfId="0" applyNumberFormat="1" applyFont="1" applyBorder="1"/>
    <xf numFmtId="44" fontId="10" fillId="0" borderId="1" xfId="1" applyFont="1" applyBorder="1" applyProtection="1"/>
    <xf numFmtId="44" fontId="7" fillId="0" borderId="1" xfId="0" applyNumberFormat="1" applyFont="1" applyBorder="1"/>
    <xf numFmtId="0" fontId="0" fillId="0" borderId="0" xfId="0" applyAlignment="1">
      <alignment horizontal="center" vertical="center"/>
    </xf>
    <xf numFmtId="44" fontId="0" fillId="0" borderId="0" xfId="1" applyFont="1" applyProtection="1"/>
    <xf numFmtId="0" fontId="0" fillId="2" borderId="0" xfId="0" applyFill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 applyFill="1" applyProtection="1"/>
    <xf numFmtId="43" fontId="0" fillId="0" borderId="0" xfId="3" applyFont="1" applyProtection="1"/>
    <xf numFmtId="44" fontId="7" fillId="0" borderId="0" xfId="0" applyNumberFormat="1" applyFont="1" applyAlignment="1">
      <alignment horizontal="center"/>
    </xf>
    <xf numFmtId="164" fontId="0" fillId="0" borderId="0" xfId="3" applyNumberFormat="1" applyFont="1" applyFill="1" applyAlignment="1" applyProtection="1">
      <alignment horizontal="center" vertical="center"/>
    </xf>
    <xf numFmtId="44" fontId="2" fillId="0" borderId="0" xfId="0" applyNumberFormat="1" applyFont="1"/>
    <xf numFmtId="0" fontId="2" fillId="0" borderId="0" xfId="0" applyFont="1" applyAlignment="1">
      <alignment horizontal="center"/>
    </xf>
    <xf numFmtId="44" fontId="7" fillId="0" borderId="0" xfId="0" applyNumberFormat="1" applyFont="1"/>
    <xf numFmtId="44" fontId="3" fillId="0" borderId="0" xfId="0" applyNumberFormat="1" applyFont="1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/>
    </xf>
    <xf numFmtId="44" fontId="0" fillId="0" borderId="0" xfId="1" applyFont="1" applyFill="1" applyAlignment="1" applyProtection="1">
      <alignment vertical="center"/>
    </xf>
    <xf numFmtId="0" fontId="6" fillId="0" borderId="0" xfId="0" applyFont="1"/>
    <xf numFmtId="1" fontId="4" fillId="0" borderId="0" xfId="0" applyNumberFormat="1" applyFont="1"/>
    <xf numFmtId="10" fontId="0" fillId="0" borderId="0" xfId="2" applyNumberFormat="1" applyFont="1" applyFill="1" applyAlignment="1" applyProtection="1">
      <alignment horizontal="center"/>
    </xf>
    <xf numFmtId="44" fontId="0" fillId="0" borderId="0" xfId="1" applyFont="1" applyFill="1" applyAlignment="1" applyProtection="1">
      <alignment horizontal="center" vertical="center"/>
    </xf>
    <xf numFmtId="44" fontId="7" fillId="0" borderId="1" xfId="0" applyNumberFormat="1" applyFont="1" applyBorder="1" applyAlignment="1">
      <alignment horizontal="center"/>
    </xf>
    <xf numFmtId="44" fontId="5" fillId="3" borderId="0" xfId="1" applyFont="1" applyFill="1" applyAlignment="1" applyProtection="1">
      <alignment horizontal="center"/>
    </xf>
    <xf numFmtId="44" fontId="5" fillId="5" borderId="0" xfId="1" applyFont="1" applyFill="1" applyProtection="1"/>
    <xf numFmtId="0" fontId="0" fillId="2" borderId="0" xfId="0" applyFill="1"/>
    <xf numFmtId="44" fontId="0" fillId="0" borderId="1" xfId="0" applyNumberFormat="1" applyBorder="1"/>
    <xf numFmtId="44" fontId="2" fillId="3" borderId="0" xfId="0" applyNumberFormat="1" applyFont="1" applyFill="1"/>
    <xf numFmtId="44" fontId="2" fillId="3" borderId="0" xfId="0" applyNumberFormat="1" applyFont="1" applyFill="1" applyAlignment="1">
      <alignment horizontal="center"/>
    </xf>
    <xf numFmtId="44" fontId="0" fillId="5" borderId="0" xfId="0" applyNumberFormat="1" applyFill="1"/>
    <xf numFmtId="44" fontId="2" fillId="0" borderId="1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/>
    </xf>
    <xf numFmtId="10" fontId="0" fillId="0" borderId="0" xfId="2" applyNumberFormat="1" applyFont="1" applyProtection="1"/>
    <xf numFmtId="10" fontId="1" fillId="0" borderId="0" xfId="2" applyNumberFormat="1" applyFont="1" applyFill="1" applyBorder="1" applyAlignment="1" applyProtection="1">
      <alignment horizontal="center"/>
    </xf>
    <xf numFmtId="10" fontId="1" fillId="0" borderId="0" xfId="2" applyNumberFormat="1" applyFont="1" applyFill="1" applyAlignment="1" applyProtection="1">
      <alignment horizontal="center"/>
    </xf>
    <xf numFmtId="44" fontId="0" fillId="0" borderId="0" xfId="2" applyNumberFormat="1" applyFont="1" applyProtection="1"/>
    <xf numFmtId="44" fontId="0" fillId="4" borderId="0" xfId="0" applyNumberFormat="1" applyFill="1"/>
    <xf numFmtId="0" fontId="0" fillId="4" borderId="0" xfId="0" applyFill="1"/>
    <xf numFmtId="164" fontId="4" fillId="0" borderId="0" xfId="3" applyNumberFormat="1" applyFont="1" applyFill="1" applyAlignment="1" applyProtection="1">
      <alignment horizontal="center" vertical="center"/>
    </xf>
    <xf numFmtId="44" fontId="4" fillId="0" borderId="0" xfId="1" applyFont="1" applyFill="1" applyAlignment="1" applyProtection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0" applyNumberFormat="1" applyFont="1"/>
    <xf numFmtId="10" fontId="4" fillId="0" borderId="0" xfId="2" applyNumberFormat="1" applyFont="1" applyFill="1" applyAlignment="1" applyProtection="1">
      <alignment horizontal="center" vertical="center"/>
    </xf>
    <xf numFmtId="44" fontId="11" fillId="0" borderId="0" xfId="1" applyFont="1" applyFill="1" applyAlignment="1" applyProtection="1">
      <alignment horizontal="center" vertical="center"/>
    </xf>
    <xf numFmtId="10" fontId="11" fillId="0" borderId="0" xfId="2" applyNumberFormat="1" applyFont="1" applyFill="1" applyAlignment="1" applyProtection="1">
      <alignment horizontal="center"/>
    </xf>
    <xf numFmtId="0" fontId="0" fillId="5" borderId="0" xfId="0" applyFill="1"/>
    <xf numFmtId="0" fontId="2" fillId="6" borderId="0" xfId="0" applyFont="1" applyFill="1" applyAlignment="1">
      <alignment horizontal="center"/>
    </xf>
    <xf numFmtId="44" fontId="2" fillId="6" borderId="0" xfId="0" applyNumberFormat="1" applyFont="1" applyFill="1"/>
    <xf numFmtId="0" fontId="2" fillId="7" borderId="0" xfId="0" applyFont="1" applyFill="1" applyAlignment="1">
      <alignment horizontal="center"/>
    </xf>
    <xf numFmtId="44" fontId="2" fillId="7" borderId="0" xfId="0" applyNumberFormat="1" applyFont="1" applyFill="1"/>
    <xf numFmtId="44" fontId="2" fillId="5" borderId="0" xfId="0" applyNumberFormat="1" applyFont="1" applyFill="1"/>
    <xf numFmtId="0" fontId="0" fillId="8" borderId="0" xfId="0" applyFill="1"/>
    <xf numFmtId="0" fontId="0" fillId="8" borderId="0" xfId="0" applyFill="1" applyAlignment="1">
      <alignment horizontal="center"/>
    </xf>
    <xf numFmtId="44" fontId="0" fillId="8" borderId="0" xfId="0" applyNumberFormat="1" applyFill="1"/>
    <xf numFmtId="10" fontId="0" fillId="8" borderId="0" xfId="2" applyNumberFormat="1" applyFont="1" applyFill="1" applyAlignment="1" applyProtection="1">
      <alignment horizontal="center"/>
    </xf>
    <xf numFmtId="10" fontId="0" fillId="8" borderId="0" xfId="0" applyNumberFormat="1" applyFill="1" applyAlignment="1">
      <alignment horizontal="center"/>
    </xf>
    <xf numFmtId="44" fontId="0" fillId="2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0" fillId="3" borderId="0" xfId="0" applyNumberFormat="1" applyFill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0" fontId="4" fillId="0" borderId="0" xfId="2" applyNumberFormat="1" applyFont="1" applyFill="1" applyAlignment="1" applyProtection="1">
      <alignment horizontal="center"/>
    </xf>
    <xf numFmtId="164" fontId="2" fillId="0" borderId="0" xfId="3" applyNumberFormat="1" applyFont="1" applyFill="1" applyAlignment="1" applyProtection="1">
      <alignment horizontal="center" vertical="center"/>
    </xf>
    <xf numFmtId="0" fontId="11" fillId="0" borderId="0" xfId="0" applyFont="1"/>
    <xf numFmtId="44" fontId="11" fillId="0" borderId="0" xfId="0" applyNumberFormat="1" applyFont="1"/>
    <xf numFmtId="0" fontId="2" fillId="0" borderId="0" xfId="0" applyFont="1" applyAlignment="1">
      <alignment vertical="center"/>
    </xf>
    <xf numFmtId="44" fontId="2" fillId="3" borderId="0" xfId="1" applyFont="1" applyFill="1" applyProtection="1"/>
    <xf numFmtId="14" fontId="4" fillId="0" borderId="0" xfId="0" applyNumberFormat="1" applyFont="1"/>
    <xf numFmtId="0" fontId="0" fillId="9" borderId="0" xfId="0" applyFill="1" applyAlignment="1" applyProtection="1">
      <alignment horizontal="center" vertical="center"/>
      <protection locked="0"/>
    </xf>
    <xf numFmtId="44" fontId="0" fillId="9" borderId="0" xfId="1" applyFont="1" applyFill="1" applyProtection="1">
      <protection locked="0"/>
    </xf>
    <xf numFmtId="164" fontId="0" fillId="9" borderId="0" xfId="3" applyNumberFormat="1" applyFont="1" applyFill="1" applyAlignment="1" applyProtection="1">
      <alignment horizontal="center" vertical="center"/>
      <protection locked="0"/>
    </xf>
    <xf numFmtId="14" fontId="0" fillId="9" borderId="0" xfId="0" applyNumberFormat="1" applyFill="1" applyAlignment="1" applyProtection="1">
      <alignment horizontal="center"/>
      <protection locked="0"/>
    </xf>
    <xf numFmtId="49" fontId="0" fillId="9" borderId="0" xfId="0" applyNumberFormat="1" applyFill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4" fontId="0" fillId="0" borderId="0" xfId="1" applyFont="1" applyAlignment="1" applyProtection="1">
      <alignment horizontal="center" vertical="center"/>
    </xf>
    <xf numFmtId="0" fontId="2" fillId="0" borderId="0" xfId="0" applyFont="1" applyAlignment="1">
      <alignment vertical="center" wrapText="1"/>
    </xf>
    <xf numFmtId="10" fontId="0" fillId="0" borderId="0" xfId="2" applyNumberFormat="1" applyFont="1" applyFill="1" applyProtection="1"/>
    <xf numFmtId="10" fontId="0" fillId="0" borderId="0" xfId="2" applyNumberFormat="1" applyFont="1" applyFill="1" applyAlignment="1" applyProtection="1">
      <alignment vertical="center"/>
    </xf>
    <xf numFmtId="10" fontId="11" fillId="0" borderId="0" xfId="2" applyNumberFormat="1" applyFont="1" applyFill="1" applyProtection="1"/>
    <xf numFmtId="10" fontId="13" fillId="0" borderId="0" xfId="2" applyNumberFormat="1" applyFont="1" applyFill="1" applyAlignment="1" applyProtection="1">
      <alignment horizontal="center" vertical="center"/>
    </xf>
    <xf numFmtId="10" fontId="13" fillId="0" borderId="0" xfId="2" applyNumberFormat="1" applyFont="1" applyFill="1" applyBorder="1" applyAlignment="1" applyProtection="1">
      <alignment horizontal="center"/>
    </xf>
    <xf numFmtId="44" fontId="0" fillId="2" borderId="0" xfId="1" applyFont="1" applyFill="1" applyProtection="1"/>
    <xf numFmtId="44" fontId="1" fillId="2" borderId="0" xfId="1" applyFont="1" applyFill="1" applyAlignment="1" applyProtection="1">
      <alignment horizontal="center"/>
    </xf>
    <xf numFmtId="0" fontId="14" fillId="0" borderId="0" xfId="0" applyFont="1"/>
    <xf numFmtId="14" fontId="4" fillId="0" borderId="0" xfId="0" applyNumberFormat="1" applyFont="1" applyAlignment="1">
      <alignment horizontal="center" vertical="center"/>
    </xf>
    <xf numFmtId="0" fontId="0" fillId="12" borderId="0" xfId="0" applyFill="1"/>
    <xf numFmtId="44" fontId="0" fillId="12" borderId="0" xfId="0" applyNumberFormat="1" applyFill="1"/>
    <xf numFmtId="0" fontId="0" fillId="12" borderId="0" xfId="0" applyFill="1" applyAlignment="1">
      <alignment horizontal="center"/>
    </xf>
    <xf numFmtId="10" fontId="0" fillId="12" borderId="0" xfId="2" applyNumberFormat="1" applyFont="1" applyFill="1" applyAlignment="1" applyProtection="1">
      <alignment horizontal="center"/>
    </xf>
    <xf numFmtId="10" fontId="0" fillId="12" borderId="0" xfId="2" applyNumberFormat="1" applyFont="1" applyFill="1" applyProtection="1"/>
    <xf numFmtId="0" fontId="0" fillId="11" borderId="0" xfId="0" applyFill="1"/>
    <xf numFmtId="44" fontId="0" fillId="11" borderId="0" xfId="0" applyNumberFormat="1" applyFill="1"/>
    <xf numFmtId="10" fontId="2" fillId="4" borderId="0" xfId="2" applyNumberFormat="1" applyFont="1" applyFill="1" applyAlignment="1" applyProtection="1">
      <alignment horizontal="center"/>
    </xf>
    <xf numFmtId="0" fontId="2" fillId="0" borderId="0" xfId="0" applyFont="1"/>
    <xf numFmtId="0" fontId="2" fillId="13" borderId="0" xfId="0" applyFont="1" applyFill="1" applyAlignment="1">
      <alignment horizontal="center"/>
    </xf>
    <xf numFmtId="44" fontId="2" fillId="13" borderId="0" xfId="0" applyNumberFormat="1" applyFont="1" applyFill="1"/>
    <xf numFmtId="0" fontId="0" fillId="2" borderId="0" xfId="0" applyFill="1" applyAlignment="1">
      <alignment horizontal="center" vertical="center"/>
    </xf>
    <xf numFmtId="0" fontId="0" fillId="16" borderId="0" xfId="0" applyFill="1"/>
    <xf numFmtId="44" fontId="0" fillId="16" borderId="0" xfId="0" applyNumberFormat="1" applyFill="1"/>
    <xf numFmtId="44" fontId="0" fillId="16" borderId="0" xfId="1" applyFont="1" applyFill="1" applyProtection="1"/>
    <xf numFmtId="0" fontId="2" fillId="7" borderId="0" xfId="0" applyFont="1" applyFill="1"/>
    <xf numFmtId="0" fontId="0" fillId="17" borderId="0" xfId="0" applyFill="1"/>
    <xf numFmtId="44" fontId="0" fillId="17" borderId="0" xfId="0" applyNumberFormat="1" applyFill="1"/>
    <xf numFmtId="0" fontId="2" fillId="13" borderId="0" xfId="0" applyFont="1" applyFill="1"/>
    <xf numFmtId="44" fontId="0" fillId="15" borderId="0" xfId="0" applyNumberFormat="1" applyFill="1"/>
    <xf numFmtId="0" fontId="0" fillId="0" borderId="0" xfId="0" applyAlignment="1">
      <alignment vertical="center"/>
    </xf>
    <xf numFmtId="44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 applyProtection="1">
      <alignment horizontal="center" vertical="center"/>
    </xf>
    <xf numFmtId="0" fontId="0" fillId="7" borderId="0" xfId="0" applyFill="1"/>
    <xf numFmtId="0" fontId="0" fillId="13" borderId="0" xfId="0" applyFill="1"/>
    <xf numFmtId="44" fontId="2" fillId="15" borderId="0" xfId="0" applyNumberFormat="1" applyFont="1" applyFill="1"/>
    <xf numFmtId="44" fontId="2" fillId="9" borderId="0" xfId="1" applyFont="1" applyFill="1" applyProtection="1">
      <protection locked="0"/>
    </xf>
    <xf numFmtId="44" fontId="2" fillId="4" borderId="0" xfId="1" applyFont="1" applyFill="1" applyProtection="1"/>
    <xf numFmtId="0" fontId="19" fillId="0" borderId="0" xfId="0" applyFont="1"/>
    <xf numFmtId="44" fontId="19" fillId="0" borderId="0" xfId="0" applyNumberFormat="1" applyFont="1"/>
    <xf numFmtId="0" fontId="20" fillId="0" borderId="0" xfId="0" applyFont="1"/>
    <xf numFmtId="44" fontId="21" fillId="0" borderId="0" xfId="0" applyNumberFormat="1" applyFont="1"/>
    <xf numFmtId="10" fontId="19" fillId="0" borderId="0" xfId="2" applyNumberFormat="1" applyFont="1" applyFill="1" applyAlignment="1" applyProtection="1">
      <alignment horizontal="center"/>
    </xf>
    <xf numFmtId="10" fontId="19" fillId="0" borderId="0" xfId="2" applyNumberFormat="1" applyFont="1" applyProtection="1"/>
    <xf numFmtId="44" fontId="19" fillId="0" borderId="0" xfId="1" applyFont="1" applyFill="1" applyAlignment="1" applyProtection="1">
      <alignment horizontal="center" vertical="center"/>
    </xf>
    <xf numFmtId="10" fontId="19" fillId="0" borderId="0" xfId="2" applyNumberFormat="1" applyFont="1" applyFill="1" applyAlignment="1" applyProtection="1">
      <alignment vertical="center"/>
    </xf>
    <xf numFmtId="10" fontId="19" fillId="0" borderId="0" xfId="2" applyNumberFormat="1" applyFont="1" applyFill="1" applyProtection="1"/>
    <xf numFmtId="0" fontId="19" fillId="0" borderId="0" xfId="0" applyFont="1" applyAlignment="1">
      <alignment horizontal="center" vertical="center"/>
    </xf>
    <xf numFmtId="44" fontId="8" fillId="0" borderId="0" xfId="0" applyNumberFormat="1" applyFont="1" applyAlignment="1">
      <alignment horizontal="center"/>
    </xf>
    <xf numFmtId="10" fontId="8" fillId="0" borderId="0" xfId="2" applyNumberFormat="1" applyFont="1" applyFill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44" fontId="2" fillId="7" borderId="0" xfId="0" applyNumberFormat="1" applyFont="1" applyFill="1" applyAlignment="1">
      <alignment vertical="center"/>
    </xf>
    <xf numFmtId="0" fontId="0" fillId="16" borderId="0" xfId="0" applyFill="1" applyAlignment="1">
      <alignment vertical="center"/>
    </xf>
    <xf numFmtId="44" fontId="0" fillId="16" borderId="0" xfId="1" applyFont="1" applyFill="1" applyAlignment="1" applyProtection="1">
      <alignment vertical="center"/>
    </xf>
    <xf numFmtId="44" fontId="0" fillId="16" borderId="0" xfId="0" applyNumberFormat="1" applyFill="1" applyAlignment="1">
      <alignment vertical="center"/>
    </xf>
    <xf numFmtId="44" fontId="0" fillId="16" borderId="0" xfId="2" applyNumberFormat="1" applyFont="1" applyFill="1" applyAlignment="1" applyProtection="1">
      <alignment vertical="center"/>
    </xf>
    <xf numFmtId="4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14" fontId="2" fillId="9" borderId="0" xfId="0" applyNumberFormat="1" applyFont="1" applyFill="1" applyAlignment="1" applyProtection="1">
      <alignment horizontal="center"/>
      <protection locked="0"/>
    </xf>
    <xf numFmtId="164" fontId="2" fillId="9" borderId="0" xfId="3" applyNumberFormat="1" applyFont="1" applyFill="1" applyAlignment="1" applyProtection="1">
      <alignment horizontal="center" vertical="center"/>
      <protection locked="0"/>
    </xf>
    <xf numFmtId="44" fontId="22" fillId="15" borderId="0" xfId="0" applyNumberFormat="1" applyFont="1" applyFill="1" applyAlignment="1">
      <alignment vertical="center" wrapText="1"/>
    </xf>
    <xf numFmtId="44" fontId="0" fillId="5" borderId="0" xfId="1" applyFont="1" applyFill="1" applyAlignment="1" applyProtection="1">
      <alignment vertical="center"/>
    </xf>
    <xf numFmtId="0" fontId="0" fillId="5" borderId="0" xfId="0" applyFill="1" applyAlignment="1">
      <alignment vertical="center"/>
    </xf>
    <xf numFmtId="44" fontId="0" fillId="5" borderId="0" xfId="0" applyNumberFormat="1" applyFill="1" applyAlignment="1">
      <alignment vertical="center"/>
    </xf>
    <xf numFmtId="44" fontId="2" fillId="15" borderId="0" xfId="0" applyNumberFormat="1" applyFont="1" applyFill="1" applyAlignment="1">
      <alignment vertical="center"/>
    </xf>
    <xf numFmtId="44" fontId="2" fillId="13" borderId="0" xfId="0" applyNumberFormat="1" applyFont="1" applyFill="1" applyAlignment="1">
      <alignment vertical="center"/>
    </xf>
    <xf numFmtId="44" fontId="2" fillId="13" borderId="0" xfId="1" applyFont="1" applyFill="1" applyAlignment="1" applyProtection="1">
      <alignment vertical="center"/>
    </xf>
    <xf numFmtId="0" fontId="0" fillId="12" borderId="0" xfId="0" applyFill="1" applyAlignment="1">
      <alignment vertical="center"/>
    </xf>
    <xf numFmtId="44" fontId="0" fillId="12" borderId="0" xfId="0" applyNumberFormat="1" applyFill="1" applyAlignment="1">
      <alignment vertical="center"/>
    </xf>
    <xf numFmtId="10" fontId="2" fillId="3" borderId="0" xfId="2" applyNumberFormat="1" applyFont="1" applyFill="1" applyAlignment="1" applyProtection="1">
      <alignment horizontal="center" vertical="center"/>
    </xf>
    <xf numFmtId="43" fontId="19" fillId="0" borderId="0" xfId="3" applyFont="1" applyFill="1" applyAlignment="1" applyProtection="1">
      <alignment horizontal="center"/>
    </xf>
    <xf numFmtId="43" fontId="19" fillId="0" borderId="0" xfId="2" applyNumberFormat="1" applyFont="1" applyFill="1" applyAlignment="1" applyProtection="1">
      <alignment horizontal="center"/>
    </xf>
    <xf numFmtId="44" fontId="19" fillId="0" borderId="0" xfId="0" applyNumberFormat="1" applyFont="1" applyAlignment="1">
      <alignment horizontal="center"/>
    </xf>
    <xf numFmtId="43" fontId="0" fillId="0" borderId="0" xfId="3" applyFont="1" applyAlignment="1" applyProtection="1">
      <alignment vertical="center"/>
    </xf>
    <xf numFmtId="43" fontId="0" fillId="4" borderId="0" xfId="3" applyFont="1" applyFill="1" applyProtection="1"/>
    <xf numFmtId="0" fontId="0" fillId="4" borderId="0" xfId="0" applyFill="1" applyAlignment="1">
      <alignment vertical="center"/>
    </xf>
    <xf numFmtId="0" fontId="2" fillId="18" borderId="0" xfId="0" applyFont="1" applyFill="1" applyAlignment="1">
      <alignment horizontal="center"/>
    </xf>
    <xf numFmtId="44" fontId="2" fillId="18" borderId="0" xfId="0" applyNumberFormat="1" applyFont="1" applyFill="1"/>
    <xf numFmtId="0" fontId="0" fillId="11" borderId="0" xfId="0" applyFill="1" applyAlignment="1">
      <alignment horizontal="center"/>
    </xf>
    <xf numFmtId="10" fontId="0" fillId="11" borderId="0" xfId="2" applyNumberFormat="1" applyFont="1" applyFill="1" applyProtection="1"/>
    <xf numFmtId="44" fontId="0" fillId="4" borderId="0" xfId="0" applyNumberFormat="1" applyFill="1" applyAlignment="1">
      <alignment vertical="center"/>
    </xf>
    <xf numFmtId="43" fontId="0" fillId="0" borderId="0" xfId="3" applyFont="1" applyFill="1" applyProtection="1"/>
    <xf numFmtId="43" fontId="0" fillId="0" borderId="0" xfId="0" applyNumberFormat="1"/>
    <xf numFmtId="44" fontId="19" fillId="0" borderId="0" xfId="1" applyFont="1" applyFill="1" applyAlignment="1" applyProtection="1">
      <alignment vertical="center"/>
    </xf>
    <xf numFmtId="43" fontId="19" fillId="0" borderId="0" xfId="0" applyNumberFormat="1" applyFont="1"/>
    <xf numFmtId="44" fontId="19" fillId="0" borderId="0" xfId="1" applyFont="1" applyProtection="1"/>
    <xf numFmtId="44" fontId="20" fillId="0" borderId="0" xfId="1" applyFont="1" applyProtection="1"/>
    <xf numFmtId="0" fontId="19" fillId="0" borderId="0" xfId="0" applyFont="1" applyAlignment="1">
      <alignment horizontal="center"/>
    </xf>
    <xf numFmtId="44" fontId="23" fillId="0" borderId="0" xfId="0" applyNumberFormat="1" applyFont="1"/>
    <xf numFmtId="44" fontId="6" fillId="0" borderId="0" xfId="0" applyNumberFormat="1" applyFont="1"/>
    <xf numFmtId="0" fontId="23" fillId="0" borderId="0" xfId="0" applyFont="1" applyAlignment="1">
      <alignment horizontal="center"/>
    </xf>
    <xf numFmtId="44" fontId="23" fillId="0" borderId="0" xfId="0" applyNumberFormat="1" applyFont="1" applyAlignment="1">
      <alignment horizontal="center" vertical="center"/>
    </xf>
    <xf numFmtId="0" fontId="23" fillId="0" borderId="0" xfId="0" applyFont="1"/>
    <xf numFmtId="0" fontId="24" fillId="10" borderId="0" xfId="0" applyFont="1" applyFill="1" applyAlignment="1">
      <alignment horizontal="center"/>
    </xf>
    <xf numFmtId="0" fontId="24" fillId="10" borderId="0" xfId="0" applyFont="1" applyFill="1" applyAlignment="1">
      <alignment horizontal="center" vertical="center"/>
    </xf>
    <xf numFmtId="0" fontId="26" fillId="16" borderId="5" xfId="0" applyFont="1" applyFill="1" applyBorder="1" applyAlignment="1">
      <alignment horizontal="center"/>
    </xf>
    <xf numFmtId="0" fontId="26" fillId="16" borderId="5" xfId="0" applyFont="1" applyFill="1" applyBorder="1" applyAlignment="1">
      <alignment horizontal="center" vertical="center"/>
    </xf>
    <xf numFmtId="44" fontId="26" fillId="16" borderId="5" xfId="0" applyNumberFormat="1" applyFont="1" applyFill="1" applyBorder="1"/>
    <xf numFmtId="0" fontId="26" fillId="0" borderId="5" xfId="0" applyFont="1" applyBorder="1" applyAlignment="1">
      <alignment horizontal="center"/>
    </xf>
    <xf numFmtId="44" fontId="26" fillId="0" borderId="5" xfId="0" applyNumberFormat="1" applyFont="1" applyBorder="1" applyAlignment="1">
      <alignment horizontal="center" vertical="center"/>
    </xf>
    <xf numFmtId="0" fontId="26" fillId="0" borderId="5" xfId="0" applyFont="1" applyBorder="1"/>
    <xf numFmtId="44" fontId="26" fillId="0" borderId="5" xfId="0" applyNumberFormat="1" applyFont="1" applyBorder="1"/>
    <xf numFmtId="44" fontId="26" fillId="0" borderId="5" xfId="1" applyFont="1" applyBorder="1" applyAlignment="1" applyProtection="1">
      <alignment horizontal="center" vertical="center"/>
    </xf>
    <xf numFmtId="44" fontId="26" fillId="0" borderId="5" xfId="1" applyFont="1" applyBorder="1" applyProtection="1"/>
    <xf numFmtId="44" fontId="26" fillId="16" borderId="5" xfId="1" applyFont="1" applyFill="1" applyBorder="1" applyAlignment="1" applyProtection="1">
      <alignment horizontal="center" vertical="center"/>
    </xf>
    <xf numFmtId="0" fontId="26" fillId="0" borderId="5" xfId="0" applyFont="1" applyBorder="1" applyAlignment="1">
      <alignment horizontal="center" vertical="center"/>
    </xf>
    <xf numFmtId="44" fontId="9" fillId="16" borderId="5" xfId="1" applyFont="1" applyFill="1" applyBorder="1" applyAlignment="1" applyProtection="1">
      <alignment horizontal="center" vertical="center"/>
    </xf>
    <xf numFmtId="44" fontId="26" fillId="16" borderId="5" xfId="1" applyFont="1" applyFill="1" applyBorder="1" applyProtection="1"/>
    <xf numFmtId="44" fontId="26" fillId="16" borderId="6" xfId="0" applyNumberFormat="1" applyFont="1" applyFill="1" applyBorder="1"/>
    <xf numFmtId="0" fontId="26" fillId="0" borderId="0" xfId="0" applyFont="1" applyAlignment="1">
      <alignment horizontal="center"/>
    </xf>
    <xf numFmtId="44" fontId="26" fillId="0" borderId="0" xfId="0" applyNumberFormat="1" applyFont="1"/>
    <xf numFmtId="0" fontId="26" fillId="0" borderId="0" xfId="0" applyFont="1" applyAlignment="1">
      <alignment horizontal="center" vertical="center"/>
    </xf>
    <xf numFmtId="44" fontId="26" fillId="0" borderId="0" xfId="0" applyNumberFormat="1" applyFont="1" applyAlignment="1">
      <alignment horizontal="center" vertical="center"/>
    </xf>
    <xf numFmtId="44" fontId="26" fillId="0" borderId="0" xfId="1" applyFont="1" applyFill="1" applyBorder="1" applyProtection="1"/>
    <xf numFmtId="44" fontId="9" fillId="0" borderId="0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4" fontId="6" fillId="9" borderId="0" xfId="1" applyFont="1" applyFill="1" applyAlignment="1" applyProtection="1">
      <alignment horizontal="center" vertical="center"/>
      <protection locked="0"/>
    </xf>
    <xf numFmtId="44" fontId="0" fillId="3" borderId="0" xfId="1" applyFont="1" applyFill="1" applyProtection="1"/>
    <xf numFmtId="44" fontId="26" fillId="0" borderId="6" xfId="0" applyNumberFormat="1" applyFont="1" applyBorder="1"/>
    <xf numFmtId="0" fontId="26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 vertical="center"/>
    </xf>
    <xf numFmtId="44" fontId="26" fillId="0" borderId="8" xfId="0" applyNumberFormat="1" applyFont="1" applyBorder="1"/>
    <xf numFmtId="44" fontId="11" fillId="3" borderId="0" xfId="0" applyNumberFormat="1" applyFont="1" applyFill="1"/>
    <xf numFmtId="0" fontId="26" fillId="19" borderId="5" xfId="0" applyFont="1" applyFill="1" applyBorder="1" applyAlignment="1">
      <alignment horizontal="center"/>
    </xf>
    <xf numFmtId="0" fontId="19" fillId="19" borderId="5" xfId="0" applyFont="1" applyFill="1" applyBorder="1" applyAlignment="1">
      <alignment horizontal="center" vertical="center"/>
    </xf>
    <xf numFmtId="44" fontId="26" fillId="19" borderId="5" xfId="1" applyFont="1" applyFill="1" applyBorder="1" applyProtection="1"/>
    <xf numFmtId="44" fontId="26" fillId="0" borderId="6" xfId="0" applyNumberFormat="1" applyFont="1" applyBorder="1" applyAlignment="1">
      <alignment horizontal="center" vertical="center"/>
    </xf>
    <xf numFmtId="44" fontId="9" fillId="0" borderId="0" xfId="0" applyNumberFormat="1" applyFont="1"/>
    <xf numFmtId="44" fontId="9" fillId="0" borderId="8" xfId="0" applyNumberFormat="1" applyFont="1" applyBorder="1"/>
    <xf numFmtId="0" fontId="19" fillId="0" borderId="8" xfId="0" applyFont="1" applyBorder="1"/>
    <xf numFmtId="0" fontId="11" fillId="0" borderId="0" xfId="0" applyFont="1" applyAlignment="1">
      <alignment vertical="center"/>
    </xf>
    <xf numFmtId="44" fontId="11" fillId="0" borderId="0" xfId="1" applyFont="1" applyFill="1" applyAlignment="1" applyProtection="1">
      <alignment vertical="center"/>
    </xf>
    <xf numFmtId="0" fontId="26" fillId="0" borderId="6" xfId="0" applyFont="1" applyBorder="1" applyAlignment="1">
      <alignment horizontal="center"/>
    </xf>
    <xf numFmtId="44" fontId="26" fillId="0" borderId="6" xfId="1" applyFont="1" applyBorder="1" applyProtection="1"/>
    <xf numFmtId="44" fontId="24" fillId="20" borderId="0" xfId="0" applyNumberFormat="1" applyFont="1" applyFill="1"/>
    <xf numFmtId="44" fontId="6" fillId="3" borderId="0" xfId="0" applyNumberFormat="1" applyFont="1" applyFill="1"/>
    <xf numFmtId="44" fontId="9" fillId="16" borderId="5" xfId="0" applyNumberFormat="1" applyFont="1" applyFill="1" applyBorder="1" applyAlignment="1">
      <alignment vertical="center"/>
    </xf>
    <xf numFmtId="44" fontId="26" fillId="16" borderId="5" xfId="0" applyNumberFormat="1" applyFont="1" applyFill="1" applyBorder="1" applyAlignment="1">
      <alignment vertical="center"/>
    </xf>
    <xf numFmtId="44" fontId="26" fillId="0" borderId="0" xfId="1" applyFont="1" applyFill="1" applyBorder="1" applyAlignment="1" applyProtection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26" fillId="0" borderId="8" xfId="0" applyNumberFormat="1" applyFont="1" applyBorder="1" applyAlignment="1">
      <alignment horizontal="center" vertical="center"/>
    </xf>
    <xf numFmtId="44" fontId="26" fillId="0" borderId="9" xfId="1" applyFont="1" applyBorder="1" applyAlignment="1" applyProtection="1">
      <alignment horizontal="center" vertical="center"/>
    </xf>
    <xf numFmtId="44" fontId="26" fillId="16" borderId="6" xfId="0" applyNumberFormat="1" applyFont="1" applyFill="1" applyBorder="1" applyAlignment="1">
      <alignment vertical="center"/>
    </xf>
    <xf numFmtId="44" fontId="7" fillId="0" borderId="5" xfId="1" applyFont="1" applyBorder="1" applyAlignment="1" applyProtection="1">
      <alignment horizontal="center" vertical="center"/>
    </xf>
    <xf numFmtId="0" fontId="26" fillId="0" borderId="9" xfId="0" applyFont="1" applyBorder="1"/>
    <xf numFmtId="44" fontId="7" fillId="9" borderId="0" xfId="1" applyFont="1" applyFill="1" applyProtection="1">
      <protection locked="0"/>
    </xf>
    <xf numFmtId="44" fontId="7" fillId="0" borderId="0" xfId="1" applyFont="1" applyBorder="1" applyAlignment="1" applyProtection="1">
      <alignment horizontal="center" vertical="center"/>
    </xf>
    <xf numFmtId="44" fontId="7" fillId="9" borderId="0" xfId="1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44" fontId="9" fillId="0" borderId="0" xfId="0" applyNumberFormat="1" applyFont="1" applyAlignment="1">
      <alignment horizontal="center" vertical="center"/>
    </xf>
    <xf numFmtId="44" fontId="26" fillId="7" borderId="6" xfId="0" applyNumberFormat="1" applyFont="1" applyFill="1" applyBorder="1"/>
    <xf numFmtId="0" fontId="26" fillId="0" borderId="10" xfId="0" applyFont="1" applyBorder="1" applyAlignment="1">
      <alignment horizontal="center"/>
    </xf>
    <xf numFmtId="44" fontId="26" fillId="0" borderId="10" xfId="0" applyNumberFormat="1" applyFont="1" applyBorder="1" applyAlignment="1">
      <alignment horizontal="center" vertical="center"/>
    </xf>
    <xf numFmtId="44" fontId="26" fillId="0" borderId="10" xfId="1" applyFont="1" applyBorder="1" applyProtection="1"/>
    <xf numFmtId="44" fontId="26" fillId="0" borderId="10" xfId="0" applyNumberFormat="1" applyFont="1" applyBorder="1"/>
    <xf numFmtId="0" fontId="26" fillId="7" borderId="11" xfId="0" applyFont="1" applyFill="1" applyBorder="1" applyAlignment="1">
      <alignment horizontal="center"/>
    </xf>
    <xf numFmtId="0" fontId="26" fillId="7" borderId="12" xfId="0" applyFont="1" applyFill="1" applyBorder="1" applyAlignment="1">
      <alignment horizontal="center" vertical="center"/>
    </xf>
    <xf numFmtId="44" fontId="9" fillId="7" borderId="12" xfId="0" applyNumberFormat="1" applyFont="1" applyFill="1" applyBorder="1"/>
    <xf numFmtId="44" fontId="26" fillId="7" borderId="13" xfId="0" applyNumberFormat="1" applyFont="1" applyFill="1" applyBorder="1"/>
    <xf numFmtId="44" fontId="26" fillId="0" borderId="6" xfId="1" applyFont="1" applyBorder="1" applyAlignment="1" applyProtection="1">
      <alignment horizontal="center" vertical="center"/>
    </xf>
    <xf numFmtId="44" fontId="2" fillId="9" borderId="0" xfId="0" applyNumberFormat="1" applyFont="1" applyFill="1" applyProtection="1">
      <protection locked="0"/>
    </xf>
    <xf numFmtId="44" fontId="2" fillId="0" borderId="1" xfId="0" applyNumberFormat="1" applyFont="1" applyBorder="1" applyAlignment="1">
      <alignment horizontal="center" vertical="center"/>
    </xf>
    <xf numFmtId="0" fontId="2" fillId="9" borderId="0" xfId="0" applyFont="1" applyFill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44" fontId="29" fillId="0" borderId="0" xfId="1" applyFont="1" applyFill="1" applyProtection="1"/>
    <xf numFmtId="0" fontId="29" fillId="0" borderId="0" xfId="0" applyFont="1"/>
    <xf numFmtId="0" fontId="26" fillId="16" borderId="6" xfId="0" applyFont="1" applyFill="1" applyBorder="1" applyAlignment="1">
      <alignment horizontal="center"/>
    </xf>
    <xf numFmtId="44" fontId="9" fillId="16" borderId="6" xfId="0" applyNumberFormat="1" applyFont="1" applyFill="1" applyBorder="1"/>
    <xf numFmtId="0" fontId="26" fillId="21" borderId="11" xfId="0" applyFont="1" applyFill="1" applyBorder="1" applyAlignment="1">
      <alignment horizontal="center"/>
    </xf>
    <xf numFmtId="44" fontId="9" fillId="21" borderId="12" xfId="0" applyNumberFormat="1" applyFont="1" applyFill="1" applyBorder="1"/>
    <xf numFmtId="44" fontId="26" fillId="21" borderId="12" xfId="1" applyFont="1" applyFill="1" applyBorder="1" applyProtection="1"/>
    <xf numFmtId="44" fontId="26" fillId="21" borderId="13" xfId="0" applyNumberFormat="1" applyFont="1" applyFill="1" applyBorder="1"/>
    <xf numFmtId="0" fontId="26" fillId="0" borderId="10" xfId="0" applyFont="1" applyBorder="1"/>
    <xf numFmtId="0" fontId="26" fillId="21" borderId="12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44" fontId="26" fillId="0" borderId="10" xfId="0" applyNumberFormat="1" applyFont="1" applyBorder="1" applyAlignment="1">
      <alignment vertical="center"/>
    </xf>
    <xf numFmtId="0" fontId="26" fillId="21" borderId="11" xfId="0" applyFont="1" applyFill="1" applyBorder="1" applyAlignment="1">
      <alignment horizontal="center" vertical="center"/>
    </xf>
    <xf numFmtId="44" fontId="9" fillId="21" borderId="12" xfId="0" applyNumberFormat="1" applyFont="1" applyFill="1" applyBorder="1" applyAlignment="1">
      <alignment vertical="center"/>
    </xf>
    <xf numFmtId="44" fontId="26" fillId="21" borderId="13" xfId="0" applyNumberFormat="1" applyFont="1" applyFill="1" applyBorder="1" applyAlignment="1">
      <alignment vertical="center"/>
    </xf>
    <xf numFmtId="0" fontId="26" fillId="16" borderId="6" xfId="0" applyFont="1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44" fontId="26" fillId="16" borderId="6" xfId="0" applyNumberFormat="1" applyFont="1" applyFill="1" applyBorder="1" applyAlignment="1">
      <alignment horizontal="center" vertical="center"/>
    </xf>
    <xf numFmtId="44" fontId="9" fillId="21" borderId="12" xfId="1" applyFont="1" applyFill="1" applyBorder="1" applyAlignment="1" applyProtection="1">
      <alignment horizontal="center" vertical="center"/>
    </xf>
    <xf numFmtId="0" fontId="0" fillId="21" borderId="1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7" fillId="0" borderId="0" xfId="0" applyFont="1" applyAlignment="1">
      <alignment vertical="center"/>
    </xf>
    <xf numFmtId="44" fontId="33" fillId="0" borderId="10" xfId="0" applyNumberFormat="1" applyFont="1" applyBorder="1" applyAlignment="1">
      <alignment vertical="center"/>
    </xf>
    <xf numFmtId="44" fontId="33" fillId="0" borderId="10" xfId="1" applyFont="1" applyBorder="1"/>
    <xf numFmtId="44" fontId="32" fillId="16" borderId="6" xfId="0" applyNumberFormat="1" applyFont="1" applyFill="1" applyBorder="1"/>
    <xf numFmtId="44" fontId="32" fillId="16" borderId="5" xfId="0" applyNumberFormat="1" applyFont="1" applyFill="1" applyBorder="1" applyAlignment="1">
      <alignment vertical="center"/>
    </xf>
    <xf numFmtId="44" fontId="32" fillId="0" borderId="5" xfId="0" applyNumberFormat="1" applyFont="1" applyBorder="1" applyAlignment="1">
      <alignment horizontal="center" vertical="center"/>
    </xf>
    <xf numFmtId="44" fontId="33" fillId="16" borderId="6" xfId="0" applyNumberFormat="1" applyFont="1" applyFill="1" applyBorder="1" applyAlignment="1">
      <alignment horizontal="center" vertical="center"/>
    </xf>
    <xf numFmtId="44" fontId="32" fillId="16" borderId="5" xfId="1" applyFont="1" applyFill="1" applyBorder="1" applyAlignment="1">
      <alignment horizontal="center" vertical="center"/>
    </xf>
    <xf numFmtId="44" fontId="33" fillId="0" borderId="9" xfId="1" applyFont="1" applyBorder="1"/>
    <xf numFmtId="0" fontId="0" fillId="4" borderId="0" xfId="0" applyFill="1" applyAlignment="1">
      <alignment vertical="center" wrapText="1"/>
    </xf>
    <xf numFmtId="0" fontId="35" fillId="4" borderId="0" xfId="0" applyFont="1" applyFill="1" applyAlignment="1">
      <alignment horizontal="center"/>
    </xf>
    <xf numFmtId="44" fontId="35" fillId="4" borderId="0" xfId="0" applyNumberFormat="1" applyFont="1" applyFill="1"/>
    <xf numFmtId="0" fontId="35" fillId="4" borderId="0" xfId="0" applyFont="1" applyFill="1" applyAlignment="1">
      <alignment horizontal="center" vertical="center"/>
    </xf>
    <xf numFmtId="44" fontId="35" fillId="4" borderId="0" xfId="0" applyNumberFormat="1" applyFont="1" applyFill="1" applyAlignment="1">
      <alignment horizontal="center" vertical="center"/>
    </xf>
    <xf numFmtId="44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/>
    </xf>
    <xf numFmtId="44" fontId="34" fillId="9" borderId="0" xfId="1" applyFont="1" applyFill="1" applyProtection="1">
      <protection locked="0"/>
    </xf>
    <xf numFmtId="164" fontId="2" fillId="2" borderId="0" xfId="3" applyNumberFormat="1" applyFont="1" applyFill="1" applyAlignment="1" applyProtection="1">
      <alignment horizontal="center" vertical="center"/>
    </xf>
    <xf numFmtId="44" fontId="0" fillId="0" borderId="0" xfId="1" applyFont="1" applyFill="1" applyProtection="1">
      <protection locked="0"/>
    </xf>
    <xf numFmtId="44" fontId="2" fillId="0" borderId="0" xfId="1" applyFont="1" applyFill="1" applyProtection="1"/>
    <xf numFmtId="10" fontId="2" fillId="0" borderId="0" xfId="2" applyNumberFormat="1" applyFont="1" applyFill="1" applyAlignment="1" applyProtection="1">
      <alignment horizontal="center"/>
    </xf>
    <xf numFmtId="44" fontId="16" fillId="0" borderId="0" xfId="0" applyNumberFormat="1" applyFont="1" applyAlignment="1">
      <alignment vertical="center"/>
    </xf>
    <xf numFmtId="44" fontId="36" fillId="2" borderId="0" xfId="1" applyFont="1" applyFill="1"/>
    <xf numFmtId="4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4" fontId="2" fillId="0" borderId="0" xfId="0" applyNumberFormat="1" applyFont="1" applyAlignment="1">
      <alignment vertical="center"/>
    </xf>
    <xf numFmtId="44" fontId="2" fillId="2" borderId="0" xfId="1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44" fontId="2" fillId="0" borderId="0" xfId="1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4" fontId="2" fillId="2" borderId="0" xfId="1" applyFont="1" applyFill="1" applyProtection="1">
      <protection locked="0"/>
    </xf>
    <xf numFmtId="44" fontId="2" fillId="9" borderId="0" xfId="1" applyFont="1" applyFill="1" applyAlignment="1" applyProtection="1">
      <alignment horizontal="center"/>
      <protection locked="0"/>
    </xf>
    <xf numFmtId="44" fontId="2" fillId="0" borderId="0" xfId="1" applyFont="1" applyFill="1" applyAlignment="1" applyProtection="1">
      <alignment horizontal="center"/>
      <protection locked="0"/>
    </xf>
    <xf numFmtId="44" fontId="0" fillId="0" borderId="0" xfId="1" applyFont="1" applyFill="1" applyAlignment="1" applyProtection="1">
      <alignment horizontal="center"/>
      <protection locked="0"/>
    </xf>
    <xf numFmtId="44" fontId="29" fillId="0" borderId="0" xfId="1" applyFont="1" applyFill="1" applyAlignment="1" applyProtection="1">
      <alignment horizontal="center"/>
    </xf>
    <xf numFmtId="44" fontId="2" fillId="2" borderId="0" xfId="1" applyFont="1" applyFill="1" applyAlignment="1" applyProtection="1">
      <alignment horizontal="center"/>
    </xf>
    <xf numFmtId="44" fontId="0" fillId="0" borderId="0" xfId="1" applyFont="1" applyFill="1" applyAlignment="1" applyProtection="1">
      <alignment horizontal="center"/>
    </xf>
    <xf numFmtId="44" fontId="26" fillId="7" borderId="13" xfId="0" applyNumberFormat="1" applyFont="1" applyFill="1" applyBorder="1" applyAlignment="1">
      <alignment horizontal="center"/>
    </xf>
    <xf numFmtId="44" fontId="26" fillId="0" borderId="10" xfId="0" applyNumberFormat="1" applyFont="1" applyBorder="1" applyAlignment="1">
      <alignment horizontal="center"/>
    </xf>
    <xf numFmtId="44" fontId="26" fillId="16" borderId="5" xfId="0" applyNumberFormat="1" applyFont="1" applyFill="1" applyBorder="1" applyAlignment="1">
      <alignment horizontal="center"/>
    </xf>
    <xf numFmtId="44" fontId="0" fillId="0" borderId="0" xfId="1" applyFont="1"/>
    <xf numFmtId="0" fontId="25" fillId="10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44" fontId="0" fillId="4" borderId="0" xfId="0" applyNumberFormat="1" applyFill="1" applyAlignment="1">
      <alignment horizontal="center" vertical="center" wrapText="1"/>
    </xf>
    <xf numFmtId="0" fontId="31" fillId="14" borderId="0" xfId="0" applyFont="1" applyFill="1" applyAlignment="1">
      <alignment horizontal="center" vertical="center" wrapText="1"/>
    </xf>
    <xf numFmtId="0" fontId="14" fillId="10" borderId="2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44" fontId="16" fillId="11" borderId="0" xfId="0" applyNumberFormat="1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/>
    </xf>
    <xf numFmtId="0" fontId="0" fillId="12" borderId="0" xfId="0" applyFill="1" applyAlignment="1">
      <alignment horizontal="center" wrapText="1"/>
    </xf>
    <xf numFmtId="44" fontId="0" fillId="12" borderId="0" xfId="0" applyNumberFormat="1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44" fontId="0" fillId="4" borderId="0" xfId="1" applyFont="1" applyFill="1" applyAlignment="1" applyProtection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44" fontId="2" fillId="4" borderId="0" xfId="0" applyNumberFormat="1" applyFont="1" applyFill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44" fontId="37" fillId="4" borderId="0" xfId="1" applyFont="1" applyFill="1" applyAlignment="1" applyProtection="1">
      <alignment horizontal="center" vertical="center" wrapText="1"/>
    </xf>
    <xf numFmtId="44" fontId="2" fillId="9" borderId="0" xfId="1" applyFont="1" applyFill="1" applyAlignment="1" applyProtection="1">
      <alignment horizontal="center" vertical="center"/>
      <protection locked="0"/>
    </xf>
    <xf numFmtId="0" fontId="28" fillId="10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8" fillId="10" borderId="0" xfId="0" applyFont="1" applyFill="1" applyAlignment="1">
      <alignment horizontal="center"/>
    </xf>
    <xf numFmtId="0" fontId="30" fillId="14" borderId="0" xfId="0" applyFont="1" applyFill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44" fontId="2" fillId="2" borderId="0" xfId="0" applyNumberFormat="1" applyFont="1" applyFill="1" applyAlignment="1">
      <alignment horizontal="center" vertical="center" wrapText="1"/>
    </xf>
    <xf numFmtId="0" fontId="15" fillId="10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7" fillId="10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 wrapText="1"/>
    </xf>
    <xf numFmtId="44" fontId="2" fillId="9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2" fillId="15" borderId="0" xfId="0" applyFont="1" applyFill="1" applyAlignment="1">
      <alignment horizontal="center" vertical="center"/>
    </xf>
    <xf numFmtId="10" fontId="0" fillId="16" borderId="0" xfId="2" applyNumberFormat="1" applyFont="1" applyFill="1" applyAlignment="1" applyProtection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8" fillId="10" borderId="2" xfId="0" applyFont="1" applyFill="1" applyBorder="1" applyAlignment="1">
      <alignment horizontal="center"/>
    </xf>
    <xf numFmtId="0" fontId="18" fillId="10" borderId="3" xfId="0" applyFont="1" applyFill="1" applyBorder="1" applyAlignment="1">
      <alignment horizontal="center"/>
    </xf>
    <xf numFmtId="0" fontId="18" fillId="10" borderId="4" xfId="0" applyFont="1" applyFill="1" applyBorder="1" applyAlignment="1">
      <alignment horizontal="center"/>
    </xf>
    <xf numFmtId="44" fontId="0" fillId="16" borderId="0" xfId="0" applyNumberFormat="1" applyFill="1" applyAlignment="1">
      <alignment horizontal="center" vertical="center"/>
    </xf>
    <xf numFmtId="44" fontId="0" fillId="16" borderId="0" xfId="1" applyFont="1" applyFill="1" applyAlignment="1" applyProtection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44" fontId="0" fillId="5" borderId="0" xfId="1" applyFont="1" applyFill="1" applyAlignment="1" applyProtection="1">
      <alignment horizontal="center" vertical="center"/>
    </xf>
    <xf numFmtId="43" fontId="0" fillId="5" borderId="0" xfId="0" applyNumberFormat="1" applyFill="1" applyAlignment="1">
      <alignment horizontal="center" vertical="center" wrapText="1"/>
    </xf>
    <xf numFmtId="0" fontId="2" fillId="1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44" fontId="11" fillId="9" borderId="0" xfId="1" applyFont="1" applyFill="1" applyAlignment="1" applyProtection="1">
      <alignment horizontal="center" vertical="center"/>
      <protection locked="0"/>
    </xf>
    <xf numFmtId="0" fontId="24" fillId="20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2" fillId="15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44" fontId="7" fillId="9" borderId="0" xfId="1" applyFont="1" applyFill="1" applyAlignment="1" applyProtection="1">
      <alignment horizontal="center" vertical="center"/>
      <protection locked="0"/>
    </xf>
    <xf numFmtId="0" fontId="0" fillId="5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16" borderId="0" xfId="0" applyFill="1" applyAlignment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156"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70C0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fgColor theme="4" tint="0.59996337778862885"/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fgColor theme="4" tint="0.59996337778862885"/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lor theme="4" tint="-0.24994659260841701"/>
      </font>
      <fill>
        <patternFill>
          <bgColor theme="4" tint="0.3999450666829432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4" tint="-0.24994659260841701"/>
      </font>
      <fill>
        <patternFill>
          <bgColor theme="4" tint="0.3999450666829432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-0.24994659260841701"/>
      </font>
      <fill>
        <patternFill>
          <bgColor theme="5" tint="0.39994506668294322"/>
        </patternFill>
      </fill>
    </dxf>
    <dxf>
      <font>
        <color theme="4" tint="-0.24994659260841701"/>
      </font>
      <fill>
        <patternFill>
          <bgColor theme="4" tint="0.3999450666829432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3</xdr:row>
      <xdr:rowOff>19050</xdr:rowOff>
    </xdr:from>
    <xdr:to>
      <xdr:col>16</xdr:col>
      <xdr:colOff>228734</xdr:colOff>
      <xdr:row>24</xdr:row>
      <xdr:rowOff>38100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3A20C681-91C4-F069-45D1-1C6F94077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590550"/>
          <a:ext cx="9258435" cy="40195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18</xdr:col>
      <xdr:colOff>149175</xdr:colOff>
      <xdr:row>22</xdr:row>
      <xdr:rowOff>95251</xdr:rowOff>
    </xdr:from>
    <xdr:to>
      <xdr:col>27</xdr:col>
      <xdr:colOff>104775</xdr:colOff>
      <xdr:row>43</xdr:row>
      <xdr:rowOff>57151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5AFBD6F-3851-3337-E0D4-1A5AD26F7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1975" y="4286251"/>
          <a:ext cx="5442000" cy="39624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18</xdr:col>
      <xdr:colOff>95249</xdr:colOff>
      <xdr:row>0</xdr:row>
      <xdr:rowOff>0</xdr:rowOff>
    </xdr:from>
    <xdr:to>
      <xdr:col>27</xdr:col>
      <xdr:colOff>28574</xdr:colOff>
      <xdr:row>21</xdr:row>
      <xdr:rowOff>52969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90110D-6C4D-5F86-8D95-C00F70EA4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49" y="0"/>
          <a:ext cx="5419725" cy="4053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3</xdr:col>
      <xdr:colOff>123825</xdr:colOff>
      <xdr:row>27</xdr:row>
      <xdr:rowOff>161925</xdr:rowOff>
    </xdr:from>
    <xdr:to>
      <xdr:col>15</xdr:col>
      <xdr:colOff>581025</xdr:colOff>
      <xdr:row>60</xdr:row>
      <xdr:rowOff>139206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2D7F49F-164C-4392-21B2-4D1B3457F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5305425"/>
          <a:ext cx="7772400" cy="626378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52256</xdr:colOff>
      <xdr:row>14</xdr:row>
      <xdr:rowOff>0</xdr:rowOff>
    </xdr:from>
    <xdr:to>
      <xdr:col>12</xdr:col>
      <xdr:colOff>510886</xdr:colOff>
      <xdr:row>14</xdr:row>
      <xdr:rowOff>1544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6A89BC9D-7633-4E9B-8580-1093762FF37B}"/>
            </a:ext>
          </a:extLst>
        </xdr:cNvPr>
        <xdr:cNvCxnSpPr/>
      </xdr:nvCxnSpPr>
      <xdr:spPr>
        <a:xfrm flipV="1">
          <a:off x="5491031" y="2790825"/>
          <a:ext cx="4792505" cy="154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13608</xdr:colOff>
      <xdr:row>17</xdr:row>
      <xdr:rowOff>115661</xdr:rowOff>
    </xdr:from>
    <xdr:to>
      <xdr:col>11</xdr:col>
      <xdr:colOff>21167</xdr:colOff>
      <xdr:row>17</xdr:row>
      <xdr:rowOff>116416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C559B6F3-95BA-4122-99AA-338F63E7E298}"/>
            </a:ext>
          </a:extLst>
        </xdr:cNvPr>
        <xdr:cNvCxnSpPr/>
      </xdr:nvCxnSpPr>
      <xdr:spPr>
        <a:xfrm flipH="1" flipV="1">
          <a:off x="7369025" y="3502328"/>
          <a:ext cx="2981475" cy="755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406513</xdr:colOff>
      <xdr:row>9</xdr:row>
      <xdr:rowOff>100761</xdr:rowOff>
    </xdr:from>
    <xdr:to>
      <xdr:col>8</xdr:col>
      <xdr:colOff>408057</xdr:colOff>
      <xdr:row>14</xdr:row>
      <xdr:rowOff>5953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3312B44D-3008-4788-B717-103FF07B2040}"/>
            </a:ext>
          </a:extLst>
        </xdr:cNvPr>
        <xdr:cNvCxnSpPr/>
      </xdr:nvCxnSpPr>
      <xdr:spPr>
        <a:xfrm flipH="1">
          <a:off x="7302613" y="1929561"/>
          <a:ext cx="1544" cy="867217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501650</xdr:colOff>
      <xdr:row>9</xdr:row>
      <xdr:rowOff>27214</xdr:rowOff>
    </xdr:from>
    <xdr:to>
      <xdr:col>10</xdr:col>
      <xdr:colOff>258536</xdr:colOff>
      <xdr:row>13</xdr:row>
      <xdr:rowOff>146050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47428CC5-9838-4C45-891C-5611C5AABD31}"/>
            </a:ext>
          </a:extLst>
        </xdr:cNvPr>
        <xdr:cNvCxnSpPr/>
      </xdr:nvCxnSpPr>
      <xdr:spPr>
        <a:xfrm flipH="1">
          <a:off x="8359775" y="1856014"/>
          <a:ext cx="395061" cy="890361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263338</xdr:colOff>
      <xdr:row>3</xdr:row>
      <xdr:rowOff>116175</xdr:rowOff>
    </xdr:from>
    <xdr:to>
      <xdr:col>7</xdr:col>
      <xdr:colOff>269014</xdr:colOff>
      <xdr:row>20</xdr:row>
      <xdr:rowOff>50427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96D94096-78B2-4693-B9BD-293C964AB812}"/>
            </a:ext>
          </a:extLst>
        </xdr:cNvPr>
        <xdr:cNvCxnSpPr/>
      </xdr:nvCxnSpPr>
      <xdr:spPr>
        <a:xfrm flipV="1">
          <a:off x="6511738" y="782925"/>
          <a:ext cx="5676" cy="322990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710296</xdr:colOff>
      <xdr:row>17</xdr:row>
      <xdr:rowOff>109662</xdr:rowOff>
    </xdr:from>
    <xdr:to>
      <xdr:col>12</xdr:col>
      <xdr:colOff>202721</xdr:colOff>
      <xdr:row>17</xdr:row>
      <xdr:rowOff>109757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31F0DEEA-6FF1-4515-BE79-CAD772A01D32}"/>
            </a:ext>
          </a:extLst>
        </xdr:cNvPr>
        <xdr:cNvCxnSpPr/>
      </xdr:nvCxnSpPr>
      <xdr:spPr>
        <a:xfrm flipH="1">
          <a:off x="10302531" y="3499441"/>
          <a:ext cx="865146" cy="9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403412</xdr:colOff>
      <xdr:row>9</xdr:row>
      <xdr:rowOff>106456</xdr:rowOff>
    </xdr:from>
    <xdr:to>
      <xdr:col>11</xdr:col>
      <xdr:colOff>0</xdr:colOff>
      <xdr:row>17</xdr:row>
      <xdr:rowOff>120650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E8CE9AFC-0E9F-4186-9F8F-4926A0CD40FD}"/>
            </a:ext>
          </a:extLst>
        </xdr:cNvPr>
        <xdr:cNvCxnSpPr/>
      </xdr:nvCxnSpPr>
      <xdr:spPr>
        <a:xfrm flipH="1" flipV="1">
          <a:off x="8393206" y="1938618"/>
          <a:ext cx="1837765" cy="157181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268941</xdr:colOff>
      <xdr:row>9</xdr:row>
      <xdr:rowOff>108457</xdr:rowOff>
    </xdr:from>
    <xdr:to>
      <xdr:col>8</xdr:col>
      <xdr:colOff>415018</xdr:colOff>
      <xdr:row>9</xdr:row>
      <xdr:rowOff>115660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D83D5CEB-1DA9-4ACE-8500-BA175242A2E1}"/>
            </a:ext>
          </a:extLst>
        </xdr:cNvPr>
        <xdr:cNvCxnSpPr/>
      </xdr:nvCxnSpPr>
      <xdr:spPr>
        <a:xfrm flipH="1" flipV="1">
          <a:off x="6517341" y="1937257"/>
          <a:ext cx="793777" cy="720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374196</xdr:colOff>
      <xdr:row>14</xdr:row>
      <xdr:rowOff>34018</xdr:rowOff>
    </xdr:from>
    <xdr:to>
      <xdr:col>8</xdr:col>
      <xdr:colOff>421821</xdr:colOff>
      <xdr:row>15</xdr:row>
      <xdr:rowOff>156483</xdr:rowOff>
    </xdr:to>
    <xdr:cxnSp macro="">
      <xdr:nvCxnSpPr>
        <xdr:cNvPr id="10" name="Conector de Seta Reta 9">
          <a:extLst>
            <a:ext uri="{FF2B5EF4-FFF2-40B4-BE49-F238E27FC236}">
              <a16:creationId xmlns:a16="http://schemas.microsoft.com/office/drawing/2014/main" id="{C3B076F6-B06D-4DF7-A1A5-8A3005A72996}"/>
            </a:ext>
          </a:extLst>
        </xdr:cNvPr>
        <xdr:cNvCxnSpPr/>
      </xdr:nvCxnSpPr>
      <xdr:spPr>
        <a:xfrm flipV="1">
          <a:off x="7270296" y="2824843"/>
          <a:ext cx="47625" cy="312965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53937</xdr:colOff>
      <xdr:row>14</xdr:row>
      <xdr:rowOff>2191</xdr:rowOff>
    </xdr:from>
    <xdr:ext cx="466090" cy="217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6388064F-DD2F-4DDF-A1C1-6B0B42EABE08}"/>
            </a:ext>
          </a:extLst>
        </xdr:cNvPr>
        <xdr:cNvSpPr txBox="1"/>
      </xdr:nvSpPr>
      <xdr:spPr>
        <a:xfrm>
          <a:off x="9826587" y="2793016"/>
          <a:ext cx="46609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PREÇO</a:t>
          </a:r>
        </a:p>
      </xdr:txBody>
    </xdr:sp>
    <xdr:clientData/>
  </xdr:oneCellAnchor>
  <xdr:oneCellAnchor>
    <xdr:from>
      <xdr:col>6</xdr:col>
      <xdr:colOff>582877</xdr:colOff>
      <xdr:row>3</xdr:row>
      <xdr:rowOff>72004</xdr:rowOff>
    </xdr:from>
    <xdr:ext cx="471989" cy="217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4611C7F7-8BE8-47C1-8C77-5F90C1D61E2F}"/>
            </a:ext>
          </a:extLst>
        </xdr:cNvPr>
        <xdr:cNvSpPr txBox="1"/>
      </xdr:nvSpPr>
      <xdr:spPr>
        <a:xfrm>
          <a:off x="6021652" y="738754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  <xdr:twoCellAnchor>
    <xdr:from>
      <xdr:col>6</xdr:col>
      <xdr:colOff>772805</xdr:colOff>
      <xdr:row>9</xdr:row>
      <xdr:rowOff>108456</xdr:rowOff>
    </xdr:from>
    <xdr:to>
      <xdr:col>7</xdr:col>
      <xdr:colOff>234924</xdr:colOff>
      <xdr:row>9</xdr:row>
      <xdr:rowOff>108456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A70E9F7D-B808-45A4-8769-826D736FD22A}"/>
            </a:ext>
          </a:extLst>
        </xdr:cNvPr>
        <xdr:cNvCxnSpPr>
          <a:cxnSpLocks/>
        </xdr:cNvCxnSpPr>
      </xdr:nvCxnSpPr>
      <xdr:spPr>
        <a:xfrm flipH="1">
          <a:off x="6211580" y="1937256"/>
          <a:ext cx="271744" cy="0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34018</xdr:colOff>
      <xdr:row>11</xdr:row>
      <xdr:rowOff>193902</xdr:rowOff>
    </xdr:from>
    <xdr:to>
      <xdr:col>12</xdr:col>
      <xdr:colOff>47625</xdr:colOff>
      <xdr:row>13</xdr:row>
      <xdr:rowOff>149678</xdr:rowOff>
    </xdr:to>
    <xdr:cxnSp macro="">
      <xdr:nvCxnSpPr>
        <xdr:cNvPr id="14" name="Conector de Seta Reta 13">
          <a:extLst>
            <a:ext uri="{FF2B5EF4-FFF2-40B4-BE49-F238E27FC236}">
              <a16:creationId xmlns:a16="http://schemas.microsoft.com/office/drawing/2014/main" id="{5646A5FA-A427-461F-9FAF-1E85DB47D42B}"/>
            </a:ext>
          </a:extLst>
        </xdr:cNvPr>
        <xdr:cNvCxnSpPr/>
      </xdr:nvCxnSpPr>
      <xdr:spPr>
        <a:xfrm flipH="1">
          <a:off x="9168493" y="2413227"/>
          <a:ext cx="651782" cy="336776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175600</xdr:rowOff>
    </xdr:from>
    <xdr:to>
      <xdr:col>11</xdr:col>
      <xdr:colOff>6647</xdr:colOff>
      <xdr:row>17</xdr:row>
      <xdr:rowOff>122464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68359D2A-171B-45D4-8806-55B3D6FB5917}"/>
            </a:ext>
          </a:extLst>
        </xdr:cNvPr>
        <xdr:cNvCxnSpPr/>
      </xdr:nvCxnSpPr>
      <xdr:spPr>
        <a:xfrm flipH="1">
          <a:off x="9134475" y="2775925"/>
          <a:ext cx="6647" cy="727914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799420</xdr:colOff>
      <xdr:row>7</xdr:row>
      <xdr:rowOff>83911</xdr:rowOff>
    </xdr:from>
    <xdr:to>
      <xdr:col>9</xdr:col>
      <xdr:colOff>212911</xdr:colOff>
      <xdr:row>7</xdr:row>
      <xdr:rowOff>84044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78308C21-172B-4D4A-BFA6-00E708FA3BCB}"/>
            </a:ext>
          </a:extLst>
        </xdr:cNvPr>
        <xdr:cNvCxnSpPr/>
      </xdr:nvCxnSpPr>
      <xdr:spPr>
        <a:xfrm flipH="1" flipV="1">
          <a:off x="6648891" y="1523867"/>
          <a:ext cx="1609844" cy="133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263338</xdr:colOff>
      <xdr:row>3</xdr:row>
      <xdr:rowOff>116175</xdr:rowOff>
    </xdr:from>
    <xdr:to>
      <xdr:col>7</xdr:col>
      <xdr:colOff>269014</xdr:colOff>
      <xdr:row>14</xdr:row>
      <xdr:rowOff>168088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1997F7EA-4F8C-464C-A113-E8F1C79EC349}"/>
            </a:ext>
          </a:extLst>
        </xdr:cNvPr>
        <xdr:cNvCxnSpPr/>
      </xdr:nvCxnSpPr>
      <xdr:spPr>
        <a:xfrm flipV="1">
          <a:off x="6925235" y="782925"/>
          <a:ext cx="5676" cy="216982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217214</xdr:colOff>
      <xdr:row>7</xdr:row>
      <xdr:rowOff>84872</xdr:rowOff>
    </xdr:from>
    <xdr:to>
      <xdr:col>10</xdr:col>
      <xdr:colOff>441356</xdr:colOff>
      <xdr:row>7</xdr:row>
      <xdr:rowOff>84967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76804A27-C951-4E76-8FDE-B1AD58A97567}"/>
            </a:ext>
          </a:extLst>
        </xdr:cNvPr>
        <xdr:cNvCxnSpPr/>
      </xdr:nvCxnSpPr>
      <xdr:spPr>
        <a:xfrm flipH="1">
          <a:off x="8263038" y="1524828"/>
          <a:ext cx="862877" cy="9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140074</xdr:colOff>
      <xdr:row>7</xdr:row>
      <xdr:rowOff>80596</xdr:rowOff>
    </xdr:from>
    <xdr:to>
      <xdr:col>9</xdr:col>
      <xdr:colOff>218082</xdr:colOff>
      <xdr:row>11</xdr:row>
      <xdr:rowOff>39220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CDEBD84F-065C-4A28-B9AB-52AE157ED71D}"/>
            </a:ext>
          </a:extLst>
        </xdr:cNvPr>
        <xdr:cNvCxnSpPr/>
      </xdr:nvCxnSpPr>
      <xdr:spPr>
        <a:xfrm flipH="1">
          <a:off x="7451912" y="1520552"/>
          <a:ext cx="811994" cy="73183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630147</xdr:colOff>
      <xdr:row>10</xdr:row>
      <xdr:rowOff>129724</xdr:rowOff>
    </xdr:from>
    <xdr:ext cx="466090" cy="217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D2A0D4B8-30F7-4967-A80A-A8055FCE0784}"/>
            </a:ext>
          </a:extLst>
        </xdr:cNvPr>
        <xdr:cNvSpPr txBox="1"/>
      </xdr:nvSpPr>
      <xdr:spPr>
        <a:xfrm>
          <a:off x="9314706" y="2152386"/>
          <a:ext cx="46609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PREÇO</a:t>
          </a:r>
        </a:p>
      </xdr:txBody>
    </xdr:sp>
    <xdr:clientData/>
  </xdr:oneCellAnchor>
  <xdr:oneCellAnchor>
    <xdr:from>
      <xdr:col>6</xdr:col>
      <xdr:colOff>582877</xdr:colOff>
      <xdr:row>3</xdr:row>
      <xdr:rowOff>72004</xdr:rowOff>
    </xdr:from>
    <xdr:ext cx="471989" cy="217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657800DC-BC14-4032-BAEB-42AFD9E59152}"/>
            </a:ext>
          </a:extLst>
        </xdr:cNvPr>
        <xdr:cNvSpPr txBox="1"/>
      </xdr:nvSpPr>
      <xdr:spPr>
        <a:xfrm>
          <a:off x="6021652" y="738754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  <xdr:twoCellAnchor>
    <xdr:from>
      <xdr:col>9</xdr:col>
      <xdr:colOff>218514</xdr:colOff>
      <xdr:row>7</xdr:row>
      <xdr:rowOff>84045</xdr:rowOff>
    </xdr:from>
    <xdr:to>
      <xdr:col>9</xdr:col>
      <xdr:colOff>220850</xdr:colOff>
      <xdr:row>10</xdr:row>
      <xdr:rowOff>140073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4AC0DBA0-DF18-4605-B19C-4C9FD97FEC7F}"/>
            </a:ext>
          </a:extLst>
        </xdr:cNvPr>
        <xdr:cNvCxnSpPr/>
      </xdr:nvCxnSpPr>
      <xdr:spPr>
        <a:xfrm flipH="1">
          <a:off x="8264338" y="1524001"/>
          <a:ext cx="2336" cy="638734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11</xdr:row>
      <xdr:rowOff>28015</xdr:rowOff>
    </xdr:from>
    <xdr:to>
      <xdr:col>8</xdr:col>
      <xdr:colOff>151280</xdr:colOff>
      <xdr:row>13</xdr:row>
      <xdr:rowOff>56029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EBD3A5F2-2C79-4431-A150-3EB6273C22EC}"/>
            </a:ext>
          </a:extLst>
        </xdr:cNvPr>
        <xdr:cNvCxnSpPr/>
      </xdr:nvCxnSpPr>
      <xdr:spPr>
        <a:xfrm flipH="1">
          <a:off x="7042897" y="2241177"/>
          <a:ext cx="420221" cy="409014"/>
        </a:xfrm>
        <a:prstGeom prst="line">
          <a:avLst/>
        </a:prstGeom>
        <a:ln w="285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158002</xdr:colOff>
      <xdr:row>10</xdr:row>
      <xdr:rowOff>96371</xdr:rowOff>
    </xdr:from>
    <xdr:to>
      <xdr:col>11</xdr:col>
      <xdr:colOff>212911</xdr:colOff>
      <xdr:row>10</xdr:row>
      <xdr:rowOff>100853</xdr:rowOff>
    </xdr:to>
    <xdr:cxnSp macro="">
      <xdr:nvCxnSpPr>
        <xdr:cNvPr id="21" name="Conector de Seta Reta 20">
          <a:extLst>
            <a:ext uri="{FF2B5EF4-FFF2-40B4-BE49-F238E27FC236}">
              <a16:creationId xmlns:a16="http://schemas.microsoft.com/office/drawing/2014/main" id="{2D2904C9-36F8-4A61-9F81-6B062C6AA729}"/>
            </a:ext>
          </a:extLst>
        </xdr:cNvPr>
        <xdr:cNvCxnSpPr/>
      </xdr:nvCxnSpPr>
      <xdr:spPr>
        <a:xfrm>
          <a:off x="6819899" y="2119033"/>
          <a:ext cx="2800350" cy="448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309562</xdr:colOff>
      <xdr:row>10</xdr:row>
      <xdr:rowOff>142874</xdr:rowOff>
    </xdr:from>
    <xdr:to>
      <xdr:col>8</xdr:col>
      <xdr:colOff>428624</xdr:colOff>
      <xdr:row>12</xdr:row>
      <xdr:rowOff>172641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C18495C3-F795-4F99-B7C2-04BEDE6D88E3}"/>
            </a:ext>
          </a:extLst>
        </xdr:cNvPr>
        <xdr:cNvCxnSpPr/>
      </xdr:nvCxnSpPr>
      <xdr:spPr>
        <a:xfrm flipH="1" flipV="1">
          <a:off x="7620000" y="2166937"/>
          <a:ext cx="119062" cy="434579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799420</xdr:colOff>
      <xdr:row>9</xdr:row>
      <xdr:rowOff>83344</xdr:rowOff>
    </xdr:from>
    <xdr:to>
      <xdr:col>9</xdr:col>
      <xdr:colOff>333375</xdr:colOff>
      <xdr:row>9</xdr:row>
      <xdr:rowOff>83911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DDB3D209-1C22-4144-962C-E3C286B0675D}"/>
            </a:ext>
          </a:extLst>
        </xdr:cNvPr>
        <xdr:cNvCxnSpPr/>
      </xdr:nvCxnSpPr>
      <xdr:spPr>
        <a:xfrm flipH="1">
          <a:off x="6567998" y="1524000"/>
          <a:ext cx="1724705" cy="567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263338</xdr:colOff>
      <xdr:row>3</xdr:row>
      <xdr:rowOff>116175</xdr:rowOff>
    </xdr:from>
    <xdr:to>
      <xdr:col>7</xdr:col>
      <xdr:colOff>269014</xdr:colOff>
      <xdr:row>20</xdr:row>
      <xdr:rowOff>168088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7298184C-1E1F-4404-9466-A3943945EAA6}"/>
            </a:ext>
          </a:extLst>
        </xdr:cNvPr>
        <xdr:cNvCxnSpPr/>
      </xdr:nvCxnSpPr>
      <xdr:spPr>
        <a:xfrm flipV="1">
          <a:off x="6921313" y="782925"/>
          <a:ext cx="5676" cy="218551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351234</xdr:colOff>
      <xdr:row>9</xdr:row>
      <xdr:rowOff>83343</xdr:rowOff>
    </xdr:from>
    <xdr:to>
      <xdr:col>10</xdr:col>
      <xdr:colOff>649716</xdr:colOff>
      <xdr:row>9</xdr:row>
      <xdr:rowOff>84871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6D77F57F-D698-4167-A0FC-47AD369B6CAD}"/>
            </a:ext>
          </a:extLst>
        </xdr:cNvPr>
        <xdr:cNvCxnSpPr/>
      </xdr:nvCxnSpPr>
      <xdr:spPr>
        <a:xfrm flipH="1" flipV="1">
          <a:off x="8310562" y="1523999"/>
          <a:ext cx="953326" cy="152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9</xdr:row>
      <xdr:rowOff>83344</xdr:rowOff>
    </xdr:from>
    <xdr:to>
      <xdr:col>9</xdr:col>
      <xdr:colOff>363141</xdr:colOff>
      <xdr:row>12</xdr:row>
      <xdr:rowOff>89296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9895965B-D43D-4186-A377-6132D9A733AD}"/>
            </a:ext>
          </a:extLst>
        </xdr:cNvPr>
        <xdr:cNvCxnSpPr/>
      </xdr:nvCxnSpPr>
      <xdr:spPr>
        <a:xfrm flipV="1">
          <a:off x="7893844" y="1524000"/>
          <a:ext cx="428625" cy="58935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618241</xdr:colOff>
      <xdr:row>10</xdr:row>
      <xdr:rowOff>177349</xdr:rowOff>
    </xdr:from>
    <xdr:ext cx="466090" cy="217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C3E198B-F5C2-44A2-A057-3684C8E420A6}"/>
            </a:ext>
          </a:extLst>
        </xdr:cNvPr>
        <xdr:cNvSpPr txBox="1"/>
      </xdr:nvSpPr>
      <xdr:spPr>
        <a:xfrm>
          <a:off x="9232413" y="1820412"/>
          <a:ext cx="46609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PREÇO</a:t>
          </a:r>
        </a:p>
      </xdr:txBody>
    </xdr:sp>
    <xdr:clientData/>
  </xdr:oneCellAnchor>
  <xdr:oneCellAnchor>
    <xdr:from>
      <xdr:col>6</xdr:col>
      <xdr:colOff>582877</xdr:colOff>
      <xdr:row>3</xdr:row>
      <xdr:rowOff>72004</xdr:rowOff>
    </xdr:from>
    <xdr:ext cx="471989" cy="217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2238BFB5-7F5F-46C3-B090-44F2BB946574}"/>
            </a:ext>
          </a:extLst>
        </xdr:cNvPr>
        <xdr:cNvSpPr txBox="1"/>
      </xdr:nvSpPr>
      <xdr:spPr>
        <a:xfrm>
          <a:off x="6431227" y="738754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  <xdr:twoCellAnchor>
    <xdr:from>
      <xdr:col>9</xdr:col>
      <xdr:colOff>351234</xdr:colOff>
      <xdr:row>9</xdr:row>
      <xdr:rowOff>95250</xdr:rowOff>
    </xdr:from>
    <xdr:to>
      <xdr:col>9</xdr:col>
      <xdr:colOff>351234</xdr:colOff>
      <xdr:row>12</xdr:row>
      <xdr:rowOff>125015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F6C31AE9-BBF5-4D73-B3AE-547899C25BFD}"/>
            </a:ext>
          </a:extLst>
        </xdr:cNvPr>
        <xdr:cNvCxnSpPr/>
      </xdr:nvCxnSpPr>
      <xdr:spPr>
        <a:xfrm>
          <a:off x="8310562" y="1535906"/>
          <a:ext cx="0" cy="613172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375046</xdr:colOff>
      <xdr:row>12</xdr:row>
      <xdr:rowOff>69688</xdr:rowOff>
    </xdr:from>
    <xdr:to>
      <xdr:col>8</xdr:col>
      <xdr:colOff>681109</xdr:colOff>
      <xdr:row>14</xdr:row>
      <xdr:rowOff>101203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F0510DD8-D742-4F90-A01C-07E1564BB469}"/>
            </a:ext>
          </a:extLst>
        </xdr:cNvPr>
        <xdr:cNvCxnSpPr/>
      </xdr:nvCxnSpPr>
      <xdr:spPr>
        <a:xfrm flipH="1">
          <a:off x="7602140" y="2093751"/>
          <a:ext cx="306063" cy="442280"/>
        </a:xfrm>
        <a:prstGeom prst="line">
          <a:avLst/>
        </a:prstGeom>
        <a:ln w="285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158002</xdr:colOff>
      <xdr:row>12</xdr:row>
      <xdr:rowOff>96371</xdr:rowOff>
    </xdr:from>
    <xdr:to>
      <xdr:col>11</xdr:col>
      <xdr:colOff>212911</xdr:colOff>
      <xdr:row>12</xdr:row>
      <xdr:rowOff>100853</xdr:rowOff>
    </xdr:to>
    <xdr:cxnSp macro="">
      <xdr:nvCxnSpPr>
        <xdr:cNvPr id="10" name="Conector de Seta Reta 9">
          <a:extLst>
            <a:ext uri="{FF2B5EF4-FFF2-40B4-BE49-F238E27FC236}">
              <a16:creationId xmlns:a16="http://schemas.microsoft.com/office/drawing/2014/main" id="{F046238C-7786-47FA-B9AE-6A1D074849D6}"/>
            </a:ext>
          </a:extLst>
        </xdr:cNvPr>
        <xdr:cNvCxnSpPr/>
      </xdr:nvCxnSpPr>
      <xdr:spPr>
        <a:xfrm>
          <a:off x="6815977" y="2115671"/>
          <a:ext cx="2817159" cy="448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678656</xdr:colOff>
      <xdr:row>12</xdr:row>
      <xdr:rowOff>119062</xdr:rowOff>
    </xdr:from>
    <xdr:to>
      <xdr:col>9</xdr:col>
      <xdr:colOff>202406</xdr:colOff>
      <xdr:row>14</xdr:row>
      <xdr:rowOff>148829</xdr:rowOff>
    </xdr:to>
    <xdr:cxnSp macro="">
      <xdr:nvCxnSpPr>
        <xdr:cNvPr id="11" name="Conector de Seta Reta 10">
          <a:extLst>
            <a:ext uri="{FF2B5EF4-FFF2-40B4-BE49-F238E27FC236}">
              <a16:creationId xmlns:a16="http://schemas.microsoft.com/office/drawing/2014/main" id="{DA13BB55-3F87-4194-8E69-E9DB67CB785D}"/>
            </a:ext>
          </a:extLst>
        </xdr:cNvPr>
        <xdr:cNvCxnSpPr/>
      </xdr:nvCxnSpPr>
      <xdr:spPr>
        <a:xfrm flipH="1" flipV="1">
          <a:off x="7905750" y="2143125"/>
          <a:ext cx="255984" cy="422673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357188</xdr:colOff>
      <xdr:row>12</xdr:row>
      <xdr:rowOff>107156</xdr:rowOff>
    </xdr:from>
    <xdr:to>
      <xdr:col>9</xdr:col>
      <xdr:colOff>613172</xdr:colOff>
      <xdr:row>13</xdr:row>
      <xdr:rowOff>130968</xdr:rowOff>
    </xdr:to>
    <xdr:cxnSp macro="">
      <xdr:nvCxnSpPr>
        <xdr:cNvPr id="18" name="Conector de Seta Reta 17">
          <a:extLst>
            <a:ext uri="{FF2B5EF4-FFF2-40B4-BE49-F238E27FC236}">
              <a16:creationId xmlns:a16="http://schemas.microsoft.com/office/drawing/2014/main" id="{D2F0E78D-52F9-4255-A421-9F8213A3443C}"/>
            </a:ext>
          </a:extLst>
        </xdr:cNvPr>
        <xdr:cNvCxnSpPr/>
      </xdr:nvCxnSpPr>
      <xdr:spPr>
        <a:xfrm>
          <a:off x="8316516" y="2131219"/>
          <a:ext cx="255984" cy="232171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510647</xdr:colOff>
      <xdr:row>10</xdr:row>
      <xdr:rowOff>84888</xdr:rowOff>
    </xdr:from>
    <xdr:to>
      <xdr:col>12</xdr:col>
      <xdr:colOff>499621</xdr:colOff>
      <xdr:row>10</xdr:row>
      <xdr:rowOff>91943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8A991BEC-3A25-41BA-BBF3-9D8F9EB8CD87}"/>
            </a:ext>
          </a:extLst>
        </xdr:cNvPr>
        <xdr:cNvCxnSpPr/>
      </xdr:nvCxnSpPr>
      <xdr:spPr>
        <a:xfrm>
          <a:off x="6416147" y="2132763"/>
          <a:ext cx="4257365" cy="705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127352</xdr:colOff>
      <xdr:row>3</xdr:row>
      <xdr:rowOff>68037</xdr:rowOff>
    </xdr:from>
    <xdr:to>
      <xdr:col>8</xdr:col>
      <xdr:colOff>132794</xdr:colOff>
      <xdr:row>13</xdr:row>
      <xdr:rowOff>161925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2803C0DC-3F54-44CF-B1AD-42FA80EDE723}"/>
            </a:ext>
          </a:extLst>
        </xdr:cNvPr>
        <xdr:cNvCxnSpPr/>
      </xdr:nvCxnSpPr>
      <xdr:spPr>
        <a:xfrm flipV="1">
          <a:off x="5274380" y="639537"/>
          <a:ext cx="5442" cy="1998888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259130</xdr:colOff>
      <xdr:row>7</xdr:row>
      <xdr:rowOff>101297</xdr:rowOff>
    </xdr:from>
    <xdr:to>
      <xdr:col>12</xdr:col>
      <xdr:colOff>355891</xdr:colOff>
      <xdr:row>7</xdr:row>
      <xdr:rowOff>107701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5913A17D-07FE-4C06-81C9-210A9A619E1C}"/>
            </a:ext>
          </a:extLst>
        </xdr:cNvPr>
        <xdr:cNvCxnSpPr/>
      </xdr:nvCxnSpPr>
      <xdr:spPr>
        <a:xfrm flipH="1" flipV="1">
          <a:off x="7131241" y="1455964"/>
          <a:ext cx="707067" cy="640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7</xdr:row>
      <xdr:rowOff>98777</xdr:rowOff>
    </xdr:from>
    <xdr:to>
      <xdr:col>11</xdr:col>
      <xdr:colOff>246945</xdr:colOff>
      <xdr:row>7</xdr:row>
      <xdr:rowOff>101600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F0DEB7CC-C029-42A8-8F3A-24A678A31D81}"/>
            </a:ext>
          </a:extLst>
        </xdr:cNvPr>
        <xdr:cNvCxnSpPr/>
      </xdr:nvCxnSpPr>
      <xdr:spPr>
        <a:xfrm flipH="1">
          <a:off x="7835900" y="1546577"/>
          <a:ext cx="2558345" cy="2823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242711</xdr:colOff>
      <xdr:row>7</xdr:row>
      <xdr:rowOff>95250</xdr:rowOff>
    </xdr:from>
    <xdr:to>
      <xdr:col>11</xdr:col>
      <xdr:colOff>261056</xdr:colOff>
      <xdr:row>12</xdr:row>
      <xdr:rowOff>102305</xdr:rowOff>
    </xdr:to>
    <xdr:cxnSp macro="">
      <xdr:nvCxnSpPr>
        <xdr:cNvPr id="19" name="Conector reto 18">
          <a:extLst>
            <a:ext uri="{FF2B5EF4-FFF2-40B4-BE49-F238E27FC236}">
              <a16:creationId xmlns:a16="http://schemas.microsoft.com/office/drawing/2014/main" id="{AF0EE473-8698-4227-B4AB-08215C9CBA18}"/>
            </a:ext>
          </a:extLst>
        </xdr:cNvPr>
        <xdr:cNvCxnSpPr/>
      </xdr:nvCxnSpPr>
      <xdr:spPr>
        <a:xfrm flipH="1">
          <a:off x="6000044" y="1449917"/>
          <a:ext cx="1133123" cy="10018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254756</xdr:colOff>
      <xdr:row>10</xdr:row>
      <xdr:rowOff>5794</xdr:rowOff>
    </xdr:from>
    <xdr:to>
      <xdr:col>11</xdr:col>
      <xdr:colOff>254756</xdr:colOff>
      <xdr:row>10</xdr:row>
      <xdr:rowOff>145646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FBFBE530-A47C-4F9E-A274-E745D7093BE3}"/>
            </a:ext>
          </a:extLst>
        </xdr:cNvPr>
        <xdr:cNvCxnSpPr/>
      </xdr:nvCxnSpPr>
      <xdr:spPr>
        <a:xfrm>
          <a:off x="7126867" y="1963711"/>
          <a:ext cx="0" cy="13985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122311</xdr:colOff>
      <xdr:row>12</xdr:row>
      <xdr:rowOff>102305</xdr:rowOff>
    </xdr:from>
    <xdr:to>
      <xdr:col>9</xdr:col>
      <xdr:colOff>254000</xdr:colOff>
      <xdr:row>12</xdr:row>
      <xdr:rowOff>102587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id="{9415083A-3002-456A-9D59-FA139D8A9171}"/>
            </a:ext>
          </a:extLst>
        </xdr:cNvPr>
        <xdr:cNvCxnSpPr/>
      </xdr:nvCxnSpPr>
      <xdr:spPr>
        <a:xfrm flipH="1">
          <a:off x="5269339" y="2441222"/>
          <a:ext cx="741994" cy="28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253580</xdr:colOff>
      <xdr:row>7</xdr:row>
      <xdr:rowOff>130527</xdr:rowOff>
    </xdr:from>
    <xdr:to>
      <xdr:col>11</xdr:col>
      <xdr:colOff>257528</xdr:colOff>
      <xdr:row>10</xdr:row>
      <xdr:rowOff>87990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id="{910030E7-45B8-4263-8736-15E6BFDD667B}"/>
            </a:ext>
          </a:extLst>
        </xdr:cNvPr>
        <xdr:cNvCxnSpPr/>
      </xdr:nvCxnSpPr>
      <xdr:spPr>
        <a:xfrm flipH="1">
          <a:off x="7125691" y="1485194"/>
          <a:ext cx="3948" cy="560713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260647</xdr:colOff>
      <xdr:row>10</xdr:row>
      <xdr:rowOff>3386</xdr:rowOff>
    </xdr:from>
    <xdr:to>
      <xdr:col>9</xdr:col>
      <xdr:colOff>260647</xdr:colOff>
      <xdr:row>10</xdr:row>
      <xdr:rowOff>132654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id="{5CD854E7-3468-4AAA-9C29-410D59780240}"/>
            </a:ext>
          </a:extLst>
        </xdr:cNvPr>
        <xdr:cNvCxnSpPr/>
      </xdr:nvCxnSpPr>
      <xdr:spPr>
        <a:xfrm>
          <a:off x="6017980" y="1929553"/>
          <a:ext cx="0" cy="1292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260351</xdr:colOff>
      <xdr:row>10</xdr:row>
      <xdr:rowOff>65088</xdr:rowOff>
    </xdr:from>
    <xdr:to>
      <xdr:col>9</xdr:col>
      <xdr:colOff>260352</xdr:colOff>
      <xdr:row>12</xdr:row>
      <xdr:rowOff>112713</xdr:rowOff>
    </xdr:to>
    <xdr:cxnSp macro="">
      <xdr:nvCxnSpPr>
        <xdr:cNvPr id="32" name="Conector reto 31">
          <a:extLst>
            <a:ext uri="{FF2B5EF4-FFF2-40B4-BE49-F238E27FC236}">
              <a16:creationId xmlns:a16="http://schemas.microsoft.com/office/drawing/2014/main" id="{58A8A9EC-071B-4AC8-9AFC-0A70F10B9F2C}"/>
            </a:ext>
          </a:extLst>
        </xdr:cNvPr>
        <xdr:cNvCxnSpPr/>
      </xdr:nvCxnSpPr>
      <xdr:spPr>
        <a:xfrm>
          <a:off x="6017684" y="2012421"/>
          <a:ext cx="1" cy="43920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7327</xdr:colOff>
      <xdr:row>12</xdr:row>
      <xdr:rowOff>102306</xdr:rowOff>
    </xdr:from>
    <xdr:to>
      <xdr:col>8</xdr:col>
      <xdr:colOff>116416</xdr:colOff>
      <xdr:row>12</xdr:row>
      <xdr:rowOff>102577</xdr:rowOff>
    </xdr:to>
    <xdr:cxnSp macro="">
      <xdr:nvCxnSpPr>
        <xdr:cNvPr id="40" name="Conector reto 39">
          <a:extLst>
            <a:ext uri="{FF2B5EF4-FFF2-40B4-BE49-F238E27FC236}">
              <a16:creationId xmlns:a16="http://schemas.microsoft.com/office/drawing/2014/main" id="{89473AFB-D4EC-40E9-927D-7140F5D4B14D}"/>
            </a:ext>
          </a:extLst>
        </xdr:cNvPr>
        <xdr:cNvCxnSpPr>
          <a:cxnSpLocks/>
        </xdr:cNvCxnSpPr>
      </xdr:nvCxnSpPr>
      <xdr:spPr>
        <a:xfrm flipH="1">
          <a:off x="7817827" y="2549498"/>
          <a:ext cx="109089" cy="271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162278</xdr:colOff>
      <xdr:row>10</xdr:row>
      <xdr:rowOff>95250</xdr:rowOff>
    </xdr:from>
    <xdr:to>
      <xdr:col>10</xdr:col>
      <xdr:colOff>243416</xdr:colOff>
      <xdr:row>13</xdr:row>
      <xdr:rowOff>1</xdr:rowOff>
    </xdr:to>
    <xdr:cxnSp macro="">
      <xdr:nvCxnSpPr>
        <xdr:cNvPr id="24" name="Conector de Seta Reta 23">
          <a:extLst>
            <a:ext uri="{FF2B5EF4-FFF2-40B4-BE49-F238E27FC236}">
              <a16:creationId xmlns:a16="http://schemas.microsoft.com/office/drawing/2014/main" id="{705D2A6D-0C20-4F92-A669-16362543334D}"/>
            </a:ext>
          </a:extLst>
        </xdr:cNvPr>
        <xdr:cNvCxnSpPr/>
      </xdr:nvCxnSpPr>
      <xdr:spPr>
        <a:xfrm flipH="1" flipV="1">
          <a:off x="6558139" y="2042583"/>
          <a:ext cx="81138" cy="508001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451555</xdr:colOff>
      <xdr:row>10</xdr:row>
      <xdr:rowOff>59973</xdr:rowOff>
    </xdr:from>
    <xdr:ext cx="466090" cy="217560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C8525760-3A19-4DAD-A6C9-DB2E46107953}"/>
            </a:ext>
          </a:extLst>
        </xdr:cNvPr>
        <xdr:cNvSpPr txBox="1"/>
      </xdr:nvSpPr>
      <xdr:spPr>
        <a:xfrm>
          <a:off x="8611305" y="2117373"/>
          <a:ext cx="46609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PREÇO</a:t>
          </a:r>
        </a:p>
      </xdr:txBody>
    </xdr:sp>
    <xdr:clientData/>
  </xdr:oneCellAnchor>
  <xdr:twoCellAnchor>
    <xdr:from>
      <xdr:col>8</xdr:col>
      <xdr:colOff>127352</xdr:colOff>
      <xdr:row>3</xdr:row>
      <xdr:rowOff>68037</xdr:rowOff>
    </xdr:from>
    <xdr:to>
      <xdr:col>8</xdr:col>
      <xdr:colOff>132794</xdr:colOff>
      <xdr:row>13</xdr:row>
      <xdr:rowOff>161925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043563A4-8748-45F8-AC9C-915541443BC5}"/>
            </a:ext>
          </a:extLst>
        </xdr:cNvPr>
        <xdr:cNvCxnSpPr/>
      </xdr:nvCxnSpPr>
      <xdr:spPr>
        <a:xfrm flipV="1">
          <a:off x="7623527" y="734787"/>
          <a:ext cx="5442" cy="206556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259130</xdr:colOff>
      <xdr:row>7</xdr:row>
      <xdr:rowOff>101297</xdr:rowOff>
    </xdr:from>
    <xdr:to>
      <xdr:col>12</xdr:col>
      <xdr:colOff>355891</xdr:colOff>
      <xdr:row>7</xdr:row>
      <xdr:rowOff>107701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9BD0748D-4D87-4423-B187-F59B6C408444}"/>
            </a:ext>
          </a:extLst>
        </xdr:cNvPr>
        <xdr:cNvCxnSpPr/>
      </xdr:nvCxnSpPr>
      <xdr:spPr>
        <a:xfrm flipH="1" flipV="1">
          <a:off x="9860330" y="1539572"/>
          <a:ext cx="734936" cy="640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242711</xdr:colOff>
      <xdr:row>7</xdr:row>
      <xdr:rowOff>95250</xdr:rowOff>
    </xdr:from>
    <xdr:to>
      <xdr:col>11</xdr:col>
      <xdr:colOff>261056</xdr:colOff>
      <xdr:row>12</xdr:row>
      <xdr:rowOff>102305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34DD8382-0493-4D4B-BBCA-8913BD84E42E}"/>
            </a:ext>
          </a:extLst>
        </xdr:cNvPr>
        <xdr:cNvCxnSpPr/>
      </xdr:nvCxnSpPr>
      <xdr:spPr>
        <a:xfrm flipH="1">
          <a:off x="8567561" y="1533525"/>
          <a:ext cx="1294695" cy="100718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254756</xdr:colOff>
      <xdr:row>10</xdr:row>
      <xdr:rowOff>5794</xdr:rowOff>
    </xdr:from>
    <xdr:to>
      <xdr:col>11</xdr:col>
      <xdr:colOff>254756</xdr:colOff>
      <xdr:row>10</xdr:row>
      <xdr:rowOff>145646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B50A0F3E-2031-47E9-B047-FB316CDF3CC6}"/>
            </a:ext>
          </a:extLst>
        </xdr:cNvPr>
        <xdr:cNvCxnSpPr/>
      </xdr:nvCxnSpPr>
      <xdr:spPr>
        <a:xfrm>
          <a:off x="9855956" y="2044144"/>
          <a:ext cx="0" cy="13985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122311</xdr:colOff>
      <xdr:row>12</xdr:row>
      <xdr:rowOff>102305</xdr:rowOff>
    </xdr:from>
    <xdr:to>
      <xdr:col>9</xdr:col>
      <xdr:colOff>254000</xdr:colOff>
      <xdr:row>12</xdr:row>
      <xdr:rowOff>102587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8334E60E-F615-4B90-BBA9-0467774C74DE}"/>
            </a:ext>
          </a:extLst>
        </xdr:cNvPr>
        <xdr:cNvCxnSpPr/>
      </xdr:nvCxnSpPr>
      <xdr:spPr>
        <a:xfrm flipH="1">
          <a:off x="7618486" y="2540705"/>
          <a:ext cx="960364" cy="28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253580</xdr:colOff>
      <xdr:row>7</xdr:row>
      <xdr:rowOff>130527</xdr:rowOff>
    </xdr:from>
    <xdr:to>
      <xdr:col>11</xdr:col>
      <xdr:colOff>257528</xdr:colOff>
      <xdr:row>10</xdr:row>
      <xdr:rowOff>87990</xdr:rowOff>
    </xdr:to>
    <xdr:cxnSp macro="">
      <xdr:nvCxnSpPr>
        <xdr:cNvPr id="27" name="Conector reto 26">
          <a:extLst>
            <a:ext uri="{FF2B5EF4-FFF2-40B4-BE49-F238E27FC236}">
              <a16:creationId xmlns:a16="http://schemas.microsoft.com/office/drawing/2014/main" id="{8CE0A715-29FA-4BB3-B12C-83EAA1582BB1}"/>
            </a:ext>
          </a:extLst>
        </xdr:cNvPr>
        <xdr:cNvCxnSpPr/>
      </xdr:nvCxnSpPr>
      <xdr:spPr>
        <a:xfrm flipH="1">
          <a:off x="9854780" y="1568802"/>
          <a:ext cx="3948" cy="557538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260647</xdr:colOff>
      <xdr:row>10</xdr:row>
      <xdr:rowOff>3386</xdr:rowOff>
    </xdr:from>
    <xdr:to>
      <xdr:col>9</xdr:col>
      <xdr:colOff>260647</xdr:colOff>
      <xdr:row>10</xdr:row>
      <xdr:rowOff>132654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id="{7678F38D-0C69-4060-80E7-3EF3177AC110}"/>
            </a:ext>
          </a:extLst>
        </xdr:cNvPr>
        <xdr:cNvCxnSpPr/>
      </xdr:nvCxnSpPr>
      <xdr:spPr>
        <a:xfrm>
          <a:off x="8585497" y="2041736"/>
          <a:ext cx="0" cy="12926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260351</xdr:colOff>
      <xdr:row>10</xdr:row>
      <xdr:rowOff>65088</xdr:rowOff>
    </xdr:from>
    <xdr:to>
      <xdr:col>9</xdr:col>
      <xdr:colOff>260352</xdr:colOff>
      <xdr:row>12</xdr:row>
      <xdr:rowOff>112713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id="{BC0EED4E-CA9D-49FF-8E1D-051221E6CED9}"/>
            </a:ext>
          </a:extLst>
        </xdr:cNvPr>
        <xdr:cNvCxnSpPr/>
      </xdr:nvCxnSpPr>
      <xdr:spPr>
        <a:xfrm>
          <a:off x="8585201" y="2103438"/>
          <a:ext cx="1" cy="44767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14654</xdr:colOff>
      <xdr:row>12</xdr:row>
      <xdr:rowOff>102306</xdr:rowOff>
    </xdr:from>
    <xdr:to>
      <xdr:col>8</xdr:col>
      <xdr:colOff>116416</xdr:colOff>
      <xdr:row>12</xdr:row>
      <xdr:rowOff>102577</xdr:rowOff>
    </xdr:to>
    <xdr:cxnSp macro="">
      <xdr:nvCxnSpPr>
        <xdr:cNvPr id="33" name="Conector reto 32">
          <a:extLst>
            <a:ext uri="{FF2B5EF4-FFF2-40B4-BE49-F238E27FC236}">
              <a16:creationId xmlns:a16="http://schemas.microsoft.com/office/drawing/2014/main" id="{CEC311C9-23A5-4B96-A935-DD4098B57C55}"/>
            </a:ext>
          </a:extLst>
        </xdr:cNvPr>
        <xdr:cNvCxnSpPr>
          <a:cxnSpLocks/>
        </xdr:cNvCxnSpPr>
      </xdr:nvCxnSpPr>
      <xdr:spPr>
        <a:xfrm flipH="1">
          <a:off x="7825154" y="2549498"/>
          <a:ext cx="101762" cy="271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162278</xdr:colOff>
      <xdr:row>10</xdr:row>
      <xdr:rowOff>95250</xdr:rowOff>
    </xdr:from>
    <xdr:to>
      <xdr:col>10</xdr:col>
      <xdr:colOff>243416</xdr:colOff>
      <xdr:row>13</xdr:row>
      <xdr:rowOff>1</xdr:rowOff>
    </xdr:to>
    <xdr:cxnSp macro="">
      <xdr:nvCxnSpPr>
        <xdr:cNvPr id="34" name="Conector de Seta Reta 33">
          <a:extLst>
            <a:ext uri="{FF2B5EF4-FFF2-40B4-BE49-F238E27FC236}">
              <a16:creationId xmlns:a16="http://schemas.microsoft.com/office/drawing/2014/main" id="{E159FDB4-F76A-4967-88FC-47A8FA209981}"/>
            </a:ext>
          </a:extLst>
        </xdr:cNvPr>
        <xdr:cNvCxnSpPr/>
      </xdr:nvCxnSpPr>
      <xdr:spPr>
        <a:xfrm flipH="1" flipV="1">
          <a:off x="9125303" y="2133600"/>
          <a:ext cx="81138" cy="504826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705441</xdr:colOff>
      <xdr:row>2</xdr:row>
      <xdr:rowOff>144842</xdr:rowOff>
    </xdr:from>
    <xdr:ext cx="471989" cy="217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A5821D87-054F-435C-8AC1-6FE1923B4188}"/>
            </a:ext>
          </a:extLst>
        </xdr:cNvPr>
        <xdr:cNvSpPr txBox="1"/>
      </xdr:nvSpPr>
      <xdr:spPr>
        <a:xfrm>
          <a:off x="7218160" y="621092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226881</xdr:colOff>
      <xdr:row>18</xdr:row>
      <xdr:rowOff>174625</xdr:rowOff>
    </xdr:from>
    <xdr:to>
      <xdr:col>13</xdr:col>
      <xdr:colOff>333375</xdr:colOff>
      <xdr:row>18</xdr:row>
      <xdr:rowOff>178437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AEFB1074-E809-4202-8229-B9FBB7E65DAB}"/>
            </a:ext>
          </a:extLst>
        </xdr:cNvPr>
        <xdr:cNvCxnSpPr/>
      </xdr:nvCxnSpPr>
      <xdr:spPr>
        <a:xfrm flipV="1">
          <a:off x="6783256" y="3746500"/>
          <a:ext cx="4559432" cy="381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26458</xdr:colOff>
      <xdr:row>7</xdr:row>
      <xdr:rowOff>87923</xdr:rowOff>
    </xdr:from>
    <xdr:to>
      <xdr:col>12</xdr:col>
      <xdr:colOff>21980</xdr:colOff>
      <xdr:row>7</xdr:row>
      <xdr:rowOff>95250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4402CDD1-425C-49B4-A6D9-BD4066BCBE38}"/>
            </a:ext>
          </a:extLst>
        </xdr:cNvPr>
        <xdr:cNvCxnSpPr/>
      </xdr:nvCxnSpPr>
      <xdr:spPr>
        <a:xfrm flipH="1">
          <a:off x="7461250" y="1548423"/>
          <a:ext cx="3456272" cy="7327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421821</xdr:colOff>
      <xdr:row>16</xdr:row>
      <xdr:rowOff>115661</xdr:rowOff>
    </xdr:from>
    <xdr:to>
      <xdr:col>9</xdr:col>
      <xdr:colOff>426357</xdr:colOff>
      <xdr:row>18</xdr:row>
      <xdr:rowOff>190499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5A938704-2314-4AC3-837A-E6BA75D80649}"/>
            </a:ext>
          </a:extLst>
        </xdr:cNvPr>
        <xdr:cNvCxnSpPr/>
      </xdr:nvCxnSpPr>
      <xdr:spPr>
        <a:xfrm>
          <a:off x="7313839" y="3299732"/>
          <a:ext cx="4536" cy="462642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265339</xdr:colOff>
      <xdr:row>3</xdr:row>
      <xdr:rowOff>116175</xdr:rowOff>
    </xdr:from>
    <xdr:to>
      <xdr:col>8</xdr:col>
      <xdr:colOff>269014</xdr:colOff>
      <xdr:row>21</xdr:row>
      <xdr:rowOff>47625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CB28EE33-6987-419F-928D-65CA6D92789A}"/>
            </a:ext>
          </a:extLst>
        </xdr:cNvPr>
        <xdr:cNvCxnSpPr/>
      </xdr:nvCxnSpPr>
      <xdr:spPr>
        <a:xfrm flipV="1">
          <a:off x="6511018" y="782925"/>
          <a:ext cx="3675" cy="342168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4303</xdr:colOff>
      <xdr:row>7</xdr:row>
      <xdr:rowOff>90475</xdr:rowOff>
    </xdr:from>
    <xdr:to>
      <xdr:col>13</xdr:col>
      <xdr:colOff>228444</xdr:colOff>
      <xdr:row>7</xdr:row>
      <xdr:rowOff>90570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19580CDA-5125-42EA-917C-F1CC0E5998CA}"/>
            </a:ext>
          </a:extLst>
        </xdr:cNvPr>
        <xdr:cNvCxnSpPr/>
      </xdr:nvCxnSpPr>
      <xdr:spPr>
        <a:xfrm flipH="1">
          <a:off x="8994438" y="1526552"/>
          <a:ext cx="861583" cy="9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415018</xdr:colOff>
      <xdr:row>7</xdr:row>
      <xdr:rowOff>80596</xdr:rowOff>
    </xdr:from>
    <xdr:to>
      <xdr:col>12</xdr:col>
      <xdr:colOff>21980</xdr:colOff>
      <xdr:row>16</xdr:row>
      <xdr:rowOff>129269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6ADFD238-C9EB-4141-B2C2-D36564CF81F4}"/>
            </a:ext>
          </a:extLst>
        </xdr:cNvPr>
        <xdr:cNvCxnSpPr/>
      </xdr:nvCxnSpPr>
      <xdr:spPr>
        <a:xfrm flipH="1">
          <a:off x="7309653" y="1516673"/>
          <a:ext cx="1702462" cy="17778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769327</xdr:colOff>
      <xdr:row>16</xdr:row>
      <xdr:rowOff>115660</xdr:rowOff>
    </xdr:from>
    <xdr:to>
      <xdr:col>9</xdr:col>
      <xdr:colOff>436999</xdr:colOff>
      <xdr:row>22</xdr:row>
      <xdr:rowOff>36635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7E5533B4-E582-4262-A918-79E59FA96C72}"/>
            </a:ext>
          </a:extLst>
        </xdr:cNvPr>
        <xdr:cNvCxnSpPr/>
      </xdr:nvCxnSpPr>
      <xdr:spPr>
        <a:xfrm flipH="1">
          <a:off x="7326923" y="3295545"/>
          <a:ext cx="1440788" cy="1093282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19</xdr:row>
      <xdr:rowOff>34018</xdr:rowOff>
    </xdr:from>
    <xdr:to>
      <xdr:col>9</xdr:col>
      <xdr:colOff>421821</xdr:colOff>
      <xdr:row>20</xdr:row>
      <xdr:rowOff>6803</xdr:rowOff>
    </xdr:to>
    <xdr:cxnSp macro="">
      <xdr:nvCxnSpPr>
        <xdr:cNvPr id="10" name="Conector de Seta Reta 9">
          <a:extLst>
            <a:ext uri="{FF2B5EF4-FFF2-40B4-BE49-F238E27FC236}">
              <a16:creationId xmlns:a16="http://schemas.microsoft.com/office/drawing/2014/main" id="{C7D90A5B-D0A8-44C2-80F1-216E3447D86E}"/>
            </a:ext>
          </a:extLst>
        </xdr:cNvPr>
        <xdr:cNvCxnSpPr/>
      </xdr:nvCxnSpPr>
      <xdr:spPr>
        <a:xfrm flipV="1">
          <a:off x="7273018" y="3796393"/>
          <a:ext cx="40821" cy="170089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714193</xdr:colOff>
      <xdr:row>17</xdr:row>
      <xdr:rowOff>150736</xdr:rowOff>
    </xdr:from>
    <xdr:ext cx="466090" cy="217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73BFAF6C-F3F3-4855-B35A-A8969BD59506}"/>
            </a:ext>
          </a:extLst>
        </xdr:cNvPr>
        <xdr:cNvSpPr txBox="1"/>
      </xdr:nvSpPr>
      <xdr:spPr>
        <a:xfrm>
          <a:off x="10905943" y="3532111"/>
          <a:ext cx="46609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PREÇO</a:t>
          </a:r>
        </a:p>
      </xdr:txBody>
    </xdr:sp>
    <xdr:clientData/>
  </xdr:oneCellAnchor>
  <xdr:oneCellAnchor>
    <xdr:from>
      <xdr:col>7</xdr:col>
      <xdr:colOff>582877</xdr:colOff>
      <xdr:row>3</xdr:row>
      <xdr:rowOff>72004</xdr:rowOff>
    </xdr:from>
    <xdr:ext cx="471989" cy="217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AF696FD6-6533-41D7-8730-7C678C574A24}"/>
            </a:ext>
          </a:extLst>
        </xdr:cNvPr>
        <xdr:cNvSpPr txBox="1"/>
      </xdr:nvSpPr>
      <xdr:spPr>
        <a:xfrm>
          <a:off x="6021652" y="738754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  <xdr:twoCellAnchor>
    <xdr:from>
      <xdr:col>8</xdr:col>
      <xdr:colOff>18143</xdr:colOff>
      <xdr:row>16</xdr:row>
      <xdr:rowOff>108857</xdr:rowOff>
    </xdr:from>
    <xdr:to>
      <xdr:col>9</xdr:col>
      <xdr:colOff>432288</xdr:colOff>
      <xdr:row>16</xdr:row>
      <xdr:rowOff>117230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9AFECDC6-239C-4C6B-ADE1-33F034430D56}"/>
            </a:ext>
          </a:extLst>
        </xdr:cNvPr>
        <xdr:cNvCxnSpPr>
          <a:cxnSpLocks/>
        </xdr:cNvCxnSpPr>
      </xdr:nvCxnSpPr>
      <xdr:spPr>
        <a:xfrm flipH="1" flipV="1">
          <a:off x="7462297" y="3288742"/>
          <a:ext cx="1300703" cy="8373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20411</xdr:colOff>
      <xdr:row>19</xdr:row>
      <xdr:rowOff>34018</xdr:rowOff>
    </xdr:from>
    <xdr:to>
      <xdr:col>12</xdr:col>
      <xdr:colOff>416154</xdr:colOff>
      <xdr:row>20</xdr:row>
      <xdr:rowOff>193903</xdr:rowOff>
    </xdr:to>
    <xdr:cxnSp macro="">
      <xdr:nvCxnSpPr>
        <xdr:cNvPr id="14" name="Conector de Seta Reta 13">
          <a:extLst>
            <a:ext uri="{FF2B5EF4-FFF2-40B4-BE49-F238E27FC236}">
              <a16:creationId xmlns:a16="http://schemas.microsoft.com/office/drawing/2014/main" id="{ECE5377E-12CE-4E54-B483-664B5FE48A52}"/>
            </a:ext>
          </a:extLst>
        </xdr:cNvPr>
        <xdr:cNvCxnSpPr/>
      </xdr:nvCxnSpPr>
      <xdr:spPr>
        <a:xfrm flipH="1" flipV="1">
          <a:off x="8926286" y="3782786"/>
          <a:ext cx="395743" cy="357188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6804</xdr:colOff>
      <xdr:row>7</xdr:row>
      <xdr:rowOff>95250</xdr:rowOff>
    </xdr:from>
    <xdr:to>
      <xdr:col>12</xdr:col>
      <xdr:colOff>7939</xdr:colOff>
      <xdr:row>18</xdr:row>
      <xdr:rowOff>142875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B742CADF-78A4-4ADC-9F3D-4D8238D73E15}"/>
            </a:ext>
          </a:extLst>
        </xdr:cNvPr>
        <xdr:cNvCxnSpPr/>
      </xdr:nvCxnSpPr>
      <xdr:spPr>
        <a:xfrm flipH="1">
          <a:off x="8912679" y="1530804"/>
          <a:ext cx="1135" cy="2170339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458979</xdr:colOff>
      <xdr:row>19</xdr:row>
      <xdr:rowOff>21980</xdr:rowOff>
    </xdr:from>
    <xdr:to>
      <xdr:col>8</xdr:col>
      <xdr:colOff>710711</xdr:colOff>
      <xdr:row>22</xdr:row>
      <xdr:rowOff>178985</xdr:rowOff>
    </xdr:to>
    <xdr:cxnSp macro="">
      <xdr:nvCxnSpPr>
        <xdr:cNvPr id="16" name="Conector de Seta Reta 15">
          <a:extLst>
            <a:ext uri="{FF2B5EF4-FFF2-40B4-BE49-F238E27FC236}">
              <a16:creationId xmlns:a16="http://schemas.microsoft.com/office/drawing/2014/main" id="{5F7FC6EC-F209-49F9-A6C0-8FD407389784}"/>
            </a:ext>
          </a:extLst>
        </xdr:cNvPr>
        <xdr:cNvCxnSpPr/>
      </xdr:nvCxnSpPr>
      <xdr:spPr>
        <a:xfrm flipV="1">
          <a:off x="7903133" y="3780692"/>
          <a:ext cx="251732" cy="750485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226881</xdr:colOff>
      <xdr:row>18</xdr:row>
      <xdr:rowOff>174625</xdr:rowOff>
    </xdr:from>
    <xdr:to>
      <xdr:col>13</xdr:col>
      <xdr:colOff>333375</xdr:colOff>
      <xdr:row>18</xdr:row>
      <xdr:rowOff>178437</xdr:rowOff>
    </xdr:to>
    <xdr:cxnSp macro="">
      <xdr:nvCxnSpPr>
        <xdr:cNvPr id="15" name="Conector de Seta Reta 14">
          <a:extLst>
            <a:ext uri="{FF2B5EF4-FFF2-40B4-BE49-F238E27FC236}">
              <a16:creationId xmlns:a16="http://schemas.microsoft.com/office/drawing/2014/main" id="{BF27D029-1133-42DF-9CBB-940B80A18772}"/>
            </a:ext>
          </a:extLst>
        </xdr:cNvPr>
        <xdr:cNvCxnSpPr/>
      </xdr:nvCxnSpPr>
      <xdr:spPr>
        <a:xfrm flipV="1">
          <a:off x="6780081" y="3756025"/>
          <a:ext cx="4564194" cy="381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8845</xdr:colOff>
      <xdr:row>7</xdr:row>
      <xdr:rowOff>74386</xdr:rowOff>
    </xdr:from>
    <xdr:to>
      <xdr:col>12</xdr:col>
      <xdr:colOff>41030</xdr:colOff>
      <xdr:row>7</xdr:row>
      <xdr:rowOff>78398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DC9AAAD3-C57F-4FBC-82B8-BB2A2E76AD23}"/>
            </a:ext>
          </a:extLst>
        </xdr:cNvPr>
        <xdr:cNvCxnSpPr/>
      </xdr:nvCxnSpPr>
      <xdr:spPr>
        <a:xfrm flipH="1" flipV="1">
          <a:off x="7371670" y="1531711"/>
          <a:ext cx="2861110" cy="4012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421821</xdr:colOff>
      <xdr:row>16</xdr:row>
      <xdr:rowOff>115661</xdr:rowOff>
    </xdr:from>
    <xdr:to>
      <xdr:col>9</xdr:col>
      <xdr:colOff>426357</xdr:colOff>
      <xdr:row>18</xdr:row>
      <xdr:rowOff>190499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7A14A6A0-98B2-4548-B7B9-1C73BCFFD4F2}"/>
            </a:ext>
          </a:extLst>
        </xdr:cNvPr>
        <xdr:cNvCxnSpPr/>
      </xdr:nvCxnSpPr>
      <xdr:spPr>
        <a:xfrm>
          <a:off x="8432346" y="3306536"/>
          <a:ext cx="4536" cy="465363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265339</xdr:colOff>
      <xdr:row>3</xdr:row>
      <xdr:rowOff>116175</xdr:rowOff>
    </xdr:from>
    <xdr:to>
      <xdr:col>8</xdr:col>
      <xdr:colOff>269014</xdr:colOff>
      <xdr:row>21</xdr:row>
      <xdr:rowOff>47625</xdr:rowOff>
    </xdr:to>
    <xdr:cxnSp macro="">
      <xdr:nvCxnSpPr>
        <xdr:cNvPr id="18" name="Conector de Seta Reta 17">
          <a:extLst>
            <a:ext uri="{FF2B5EF4-FFF2-40B4-BE49-F238E27FC236}">
              <a16:creationId xmlns:a16="http://schemas.microsoft.com/office/drawing/2014/main" id="{9E9EAD2F-92D2-44E5-AE2C-046058CA46EC}"/>
            </a:ext>
          </a:extLst>
        </xdr:cNvPr>
        <xdr:cNvCxnSpPr/>
      </xdr:nvCxnSpPr>
      <xdr:spPr>
        <a:xfrm flipV="1">
          <a:off x="7628164" y="801975"/>
          <a:ext cx="3675" cy="34176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4303</xdr:colOff>
      <xdr:row>7</xdr:row>
      <xdr:rowOff>90475</xdr:rowOff>
    </xdr:from>
    <xdr:to>
      <xdr:col>13</xdr:col>
      <xdr:colOff>228444</xdr:colOff>
      <xdr:row>7</xdr:row>
      <xdr:rowOff>90570</xdr:rowOff>
    </xdr:to>
    <xdr:cxnSp macro="">
      <xdr:nvCxnSpPr>
        <xdr:cNvPr id="19" name="Conector reto 18">
          <a:extLst>
            <a:ext uri="{FF2B5EF4-FFF2-40B4-BE49-F238E27FC236}">
              <a16:creationId xmlns:a16="http://schemas.microsoft.com/office/drawing/2014/main" id="{A5554738-87EB-486C-A6E8-D70A0BE0C433}"/>
            </a:ext>
          </a:extLst>
        </xdr:cNvPr>
        <xdr:cNvCxnSpPr/>
      </xdr:nvCxnSpPr>
      <xdr:spPr>
        <a:xfrm flipH="1">
          <a:off x="10196053" y="1547800"/>
          <a:ext cx="1043291" cy="9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415018</xdr:colOff>
      <xdr:row>7</xdr:row>
      <xdr:rowOff>80596</xdr:rowOff>
    </xdr:from>
    <xdr:to>
      <xdr:col>12</xdr:col>
      <xdr:colOff>21980</xdr:colOff>
      <xdr:row>16</xdr:row>
      <xdr:rowOff>129269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id="{5A009DB1-6989-44AF-9E49-855ED56E5DF8}"/>
            </a:ext>
          </a:extLst>
        </xdr:cNvPr>
        <xdr:cNvCxnSpPr/>
      </xdr:nvCxnSpPr>
      <xdr:spPr>
        <a:xfrm flipH="1">
          <a:off x="8425543" y="1537921"/>
          <a:ext cx="1788187" cy="178222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16</xdr:row>
      <xdr:rowOff>125730</xdr:rowOff>
    </xdr:from>
    <xdr:to>
      <xdr:col>9</xdr:col>
      <xdr:colOff>422638</xdr:colOff>
      <xdr:row>16</xdr:row>
      <xdr:rowOff>127090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59F1AB8E-49D0-4D75-B4A8-0FE5255DD7A3}"/>
            </a:ext>
          </a:extLst>
        </xdr:cNvPr>
        <xdr:cNvCxnSpPr/>
      </xdr:nvCxnSpPr>
      <xdr:spPr>
        <a:xfrm flipH="1" flipV="1">
          <a:off x="7722870" y="3326130"/>
          <a:ext cx="872218" cy="136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19</xdr:row>
      <xdr:rowOff>34018</xdr:rowOff>
    </xdr:from>
    <xdr:to>
      <xdr:col>9</xdr:col>
      <xdr:colOff>421821</xdr:colOff>
      <xdr:row>20</xdr:row>
      <xdr:rowOff>6803</xdr:rowOff>
    </xdr:to>
    <xdr:cxnSp macro="">
      <xdr:nvCxnSpPr>
        <xdr:cNvPr id="22" name="Conector de Seta Reta 21">
          <a:extLst>
            <a:ext uri="{FF2B5EF4-FFF2-40B4-BE49-F238E27FC236}">
              <a16:creationId xmlns:a16="http://schemas.microsoft.com/office/drawing/2014/main" id="{4F9DDE5C-051A-4DA6-905E-D3349B4755A6}"/>
            </a:ext>
          </a:extLst>
        </xdr:cNvPr>
        <xdr:cNvCxnSpPr/>
      </xdr:nvCxnSpPr>
      <xdr:spPr>
        <a:xfrm flipV="1">
          <a:off x="8391525" y="3805918"/>
          <a:ext cx="40821" cy="17281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714193</xdr:colOff>
      <xdr:row>17</xdr:row>
      <xdr:rowOff>150736</xdr:rowOff>
    </xdr:from>
    <xdr:ext cx="466090" cy="217560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F96FBBC3-C1FE-4B3F-A4CC-CF6F4A20EBB9}"/>
            </a:ext>
          </a:extLst>
        </xdr:cNvPr>
        <xdr:cNvSpPr txBox="1"/>
      </xdr:nvSpPr>
      <xdr:spPr>
        <a:xfrm>
          <a:off x="10905943" y="3541636"/>
          <a:ext cx="46609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PREÇO</a:t>
          </a:r>
        </a:p>
      </xdr:txBody>
    </xdr:sp>
    <xdr:clientData/>
  </xdr:oneCellAnchor>
  <xdr:oneCellAnchor>
    <xdr:from>
      <xdr:col>7</xdr:col>
      <xdr:colOff>582877</xdr:colOff>
      <xdr:row>3</xdr:row>
      <xdr:rowOff>72004</xdr:rowOff>
    </xdr:from>
    <xdr:ext cx="471989" cy="217560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D8236D70-0F68-4671-B4FD-3A50D2A3FA6E}"/>
            </a:ext>
          </a:extLst>
        </xdr:cNvPr>
        <xdr:cNvSpPr txBox="1"/>
      </xdr:nvSpPr>
      <xdr:spPr>
        <a:xfrm>
          <a:off x="7136077" y="757804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  <xdr:twoCellAnchor>
    <xdr:from>
      <xdr:col>8</xdr:col>
      <xdr:colOff>11430</xdr:colOff>
      <xdr:row>16</xdr:row>
      <xdr:rowOff>125730</xdr:rowOff>
    </xdr:from>
    <xdr:to>
      <xdr:col>8</xdr:col>
      <xdr:colOff>250164</xdr:colOff>
      <xdr:row>16</xdr:row>
      <xdr:rowOff>127506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D7BA0862-678D-4A07-8CA5-410382ADC1B8}"/>
            </a:ext>
          </a:extLst>
        </xdr:cNvPr>
        <xdr:cNvCxnSpPr>
          <a:cxnSpLocks/>
        </xdr:cNvCxnSpPr>
      </xdr:nvCxnSpPr>
      <xdr:spPr>
        <a:xfrm flipH="1" flipV="1">
          <a:off x="7467600" y="3326130"/>
          <a:ext cx="238734" cy="1776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20411</xdr:colOff>
      <xdr:row>19</xdr:row>
      <xdr:rowOff>34018</xdr:rowOff>
    </xdr:from>
    <xdr:to>
      <xdr:col>12</xdr:col>
      <xdr:colOff>416154</xdr:colOff>
      <xdr:row>20</xdr:row>
      <xdr:rowOff>193903</xdr:rowOff>
    </xdr:to>
    <xdr:cxnSp macro="">
      <xdr:nvCxnSpPr>
        <xdr:cNvPr id="26" name="Conector de Seta Reta 25">
          <a:extLst>
            <a:ext uri="{FF2B5EF4-FFF2-40B4-BE49-F238E27FC236}">
              <a16:creationId xmlns:a16="http://schemas.microsoft.com/office/drawing/2014/main" id="{FBDB6DF8-8EF3-4207-A4E7-5E8D01B093C8}"/>
            </a:ext>
          </a:extLst>
        </xdr:cNvPr>
        <xdr:cNvCxnSpPr/>
      </xdr:nvCxnSpPr>
      <xdr:spPr>
        <a:xfrm flipH="1" flipV="1">
          <a:off x="10212161" y="3805918"/>
          <a:ext cx="395743" cy="35991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6804</xdr:colOff>
      <xdr:row>7</xdr:row>
      <xdr:rowOff>95250</xdr:rowOff>
    </xdr:from>
    <xdr:to>
      <xdr:col>12</xdr:col>
      <xdr:colOff>7939</xdr:colOff>
      <xdr:row>18</xdr:row>
      <xdr:rowOff>142875</xdr:rowOff>
    </xdr:to>
    <xdr:cxnSp macro="">
      <xdr:nvCxnSpPr>
        <xdr:cNvPr id="27" name="Conector reto 26">
          <a:extLst>
            <a:ext uri="{FF2B5EF4-FFF2-40B4-BE49-F238E27FC236}">
              <a16:creationId xmlns:a16="http://schemas.microsoft.com/office/drawing/2014/main" id="{35603C62-4F8C-4420-A743-42A34244D60A}"/>
            </a:ext>
          </a:extLst>
        </xdr:cNvPr>
        <xdr:cNvCxnSpPr/>
      </xdr:nvCxnSpPr>
      <xdr:spPr>
        <a:xfrm flipH="1">
          <a:off x="10198554" y="1552575"/>
          <a:ext cx="1135" cy="21717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52256</xdr:colOff>
      <xdr:row>13</xdr:row>
      <xdr:rowOff>184897</xdr:rowOff>
    </xdr:from>
    <xdr:to>
      <xdr:col>13</xdr:col>
      <xdr:colOff>16809</xdr:colOff>
      <xdr:row>14</xdr:row>
      <xdr:rowOff>1544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D415D780-99A8-4231-99B7-129DECE846DF}"/>
            </a:ext>
          </a:extLst>
        </xdr:cNvPr>
        <xdr:cNvCxnSpPr/>
      </xdr:nvCxnSpPr>
      <xdr:spPr>
        <a:xfrm flipV="1">
          <a:off x="5313418" y="2801471"/>
          <a:ext cx="4687832" cy="714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4329</xdr:colOff>
      <xdr:row>9</xdr:row>
      <xdr:rowOff>107436</xdr:rowOff>
    </xdr:from>
    <xdr:to>
      <xdr:col>10</xdr:col>
      <xdr:colOff>424456</xdr:colOff>
      <xdr:row>9</xdr:row>
      <xdr:rowOff>116898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755F4619-49AF-45D1-AA7C-951416130B20}"/>
            </a:ext>
          </a:extLst>
        </xdr:cNvPr>
        <xdr:cNvCxnSpPr/>
      </xdr:nvCxnSpPr>
      <xdr:spPr>
        <a:xfrm flipH="1">
          <a:off x="6637193" y="1925845"/>
          <a:ext cx="2437695" cy="9462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440531</xdr:colOff>
      <xdr:row>9</xdr:row>
      <xdr:rowOff>100761</xdr:rowOff>
    </xdr:from>
    <xdr:to>
      <xdr:col>10</xdr:col>
      <xdr:colOff>442075</xdr:colOff>
      <xdr:row>14</xdr:row>
      <xdr:rowOff>5953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F784ED18-FD8E-4D7E-9AC4-CC28FB361EE7}"/>
            </a:ext>
          </a:extLst>
        </xdr:cNvPr>
        <xdr:cNvCxnSpPr/>
      </xdr:nvCxnSpPr>
      <xdr:spPr>
        <a:xfrm flipH="1">
          <a:off x="9084469" y="1946230"/>
          <a:ext cx="1544" cy="89341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196056</xdr:rowOff>
    </xdr:from>
    <xdr:to>
      <xdr:col>8</xdr:col>
      <xdr:colOff>4367</xdr:colOff>
      <xdr:row>17</xdr:row>
      <xdr:rowOff>107156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010D5A0D-99CA-4299-967D-81C22B910E64}"/>
            </a:ext>
          </a:extLst>
        </xdr:cNvPr>
        <xdr:cNvCxnSpPr/>
      </xdr:nvCxnSpPr>
      <xdr:spPr>
        <a:xfrm flipH="1">
          <a:off x="7274719" y="2851150"/>
          <a:ext cx="4367" cy="696912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67028</xdr:colOff>
      <xdr:row>14</xdr:row>
      <xdr:rowOff>11906</xdr:rowOff>
    </xdr:from>
    <xdr:to>
      <xdr:col>9</xdr:col>
      <xdr:colOff>148166</xdr:colOff>
      <xdr:row>16</xdr:row>
      <xdr:rowOff>166689</xdr:rowOff>
    </xdr:to>
    <xdr:cxnSp macro="">
      <xdr:nvCxnSpPr>
        <xdr:cNvPr id="13" name="Conector de Seta Reta 12">
          <a:extLst>
            <a:ext uri="{FF2B5EF4-FFF2-40B4-BE49-F238E27FC236}">
              <a16:creationId xmlns:a16="http://schemas.microsoft.com/office/drawing/2014/main" id="{A311947F-C9F8-4927-9B4D-08E1569FF1EB}"/>
            </a:ext>
          </a:extLst>
        </xdr:cNvPr>
        <xdr:cNvCxnSpPr/>
      </xdr:nvCxnSpPr>
      <xdr:spPr>
        <a:xfrm flipH="1" flipV="1">
          <a:off x="8073981" y="2869406"/>
          <a:ext cx="81138" cy="535783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263338</xdr:colOff>
      <xdr:row>3</xdr:row>
      <xdr:rowOff>116175</xdr:rowOff>
    </xdr:from>
    <xdr:to>
      <xdr:col>7</xdr:col>
      <xdr:colOff>269014</xdr:colOff>
      <xdr:row>20</xdr:row>
      <xdr:rowOff>50427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114D5D3D-4152-42F0-8092-E2CFF0471AEF}"/>
            </a:ext>
          </a:extLst>
        </xdr:cNvPr>
        <xdr:cNvCxnSpPr/>
      </xdr:nvCxnSpPr>
      <xdr:spPr>
        <a:xfrm flipV="1">
          <a:off x="6336926" y="782925"/>
          <a:ext cx="5676" cy="3251193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437725</xdr:colOff>
      <xdr:row>9</xdr:row>
      <xdr:rowOff>101203</xdr:rowOff>
    </xdr:from>
    <xdr:to>
      <xdr:col>11</xdr:col>
      <xdr:colOff>571500</xdr:colOff>
      <xdr:row>9</xdr:row>
      <xdr:rowOff>101298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B2306E93-1EBE-40BA-8CA6-41E08CF9ED40}"/>
            </a:ext>
          </a:extLst>
        </xdr:cNvPr>
        <xdr:cNvCxnSpPr/>
      </xdr:nvCxnSpPr>
      <xdr:spPr>
        <a:xfrm flipH="1">
          <a:off x="9081663" y="1946672"/>
          <a:ext cx="770759" cy="9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9</xdr:row>
      <xdr:rowOff>95250</xdr:rowOff>
    </xdr:from>
    <xdr:to>
      <xdr:col>10</xdr:col>
      <xdr:colOff>440531</xdr:colOff>
      <xdr:row>17</xdr:row>
      <xdr:rowOff>123825</xdr:rowOff>
    </xdr:to>
    <xdr:cxnSp macro="">
      <xdr:nvCxnSpPr>
        <xdr:cNvPr id="20" name="Conector reto 19">
          <a:extLst>
            <a:ext uri="{FF2B5EF4-FFF2-40B4-BE49-F238E27FC236}">
              <a16:creationId xmlns:a16="http://schemas.microsoft.com/office/drawing/2014/main" id="{167F4F59-0628-489E-9CBC-11A430205402}"/>
            </a:ext>
          </a:extLst>
        </xdr:cNvPr>
        <xdr:cNvCxnSpPr/>
      </xdr:nvCxnSpPr>
      <xdr:spPr>
        <a:xfrm flipH="1">
          <a:off x="6705600" y="1914525"/>
          <a:ext cx="1821656" cy="16002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268941</xdr:colOff>
      <xdr:row>17</xdr:row>
      <xdr:rowOff>126118</xdr:rowOff>
    </xdr:from>
    <xdr:to>
      <xdr:col>7</xdr:col>
      <xdr:colOff>646907</xdr:colOff>
      <xdr:row>17</xdr:row>
      <xdr:rowOff>128868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14E04EF4-0C52-4B4A-940D-BFE61009E672}"/>
            </a:ext>
          </a:extLst>
        </xdr:cNvPr>
        <xdr:cNvCxnSpPr/>
      </xdr:nvCxnSpPr>
      <xdr:spPr>
        <a:xfrm flipH="1">
          <a:off x="6342529" y="3527103"/>
          <a:ext cx="377966" cy="27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5953</xdr:colOff>
      <xdr:row>12</xdr:row>
      <xdr:rowOff>21648</xdr:rowOff>
    </xdr:from>
    <xdr:to>
      <xdr:col>8</xdr:col>
      <xdr:colOff>363682</xdr:colOff>
      <xdr:row>13</xdr:row>
      <xdr:rowOff>190500</xdr:rowOff>
    </xdr:to>
    <xdr:cxnSp macro="">
      <xdr:nvCxnSpPr>
        <xdr:cNvPr id="27" name="Conector de Seta Reta 26">
          <a:extLst>
            <a:ext uri="{FF2B5EF4-FFF2-40B4-BE49-F238E27FC236}">
              <a16:creationId xmlns:a16="http://schemas.microsoft.com/office/drawing/2014/main" id="{7618421A-DE1F-40CD-8FA2-CDF7DA0F6395}"/>
            </a:ext>
          </a:extLst>
        </xdr:cNvPr>
        <xdr:cNvCxnSpPr/>
      </xdr:nvCxnSpPr>
      <xdr:spPr>
        <a:xfrm flipH="1">
          <a:off x="7288248" y="2437534"/>
          <a:ext cx="357729" cy="359352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357005</xdr:colOff>
      <xdr:row>14</xdr:row>
      <xdr:rowOff>97441</xdr:rowOff>
    </xdr:from>
    <xdr:ext cx="466090" cy="217560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BAD0CEDB-E36D-4F5C-9B05-9F15EF6CDA4B}"/>
            </a:ext>
          </a:extLst>
        </xdr:cNvPr>
        <xdr:cNvSpPr txBox="1"/>
      </xdr:nvSpPr>
      <xdr:spPr>
        <a:xfrm>
          <a:off x="9730726" y="2904515"/>
          <a:ext cx="46609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PREÇO</a:t>
          </a:r>
        </a:p>
      </xdr:txBody>
    </xdr:sp>
    <xdr:clientData/>
  </xdr:oneCellAnchor>
  <xdr:oneCellAnchor>
    <xdr:from>
      <xdr:col>6</xdr:col>
      <xdr:colOff>582877</xdr:colOff>
      <xdr:row>3</xdr:row>
      <xdr:rowOff>72004</xdr:rowOff>
    </xdr:from>
    <xdr:ext cx="471989" cy="217560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E6D05BDD-6929-41F3-9541-259BDC686D57}"/>
            </a:ext>
          </a:extLst>
        </xdr:cNvPr>
        <xdr:cNvSpPr txBox="1"/>
      </xdr:nvSpPr>
      <xdr:spPr>
        <a:xfrm>
          <a:off x="5844039" y="738754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  <xdr:twoCellAnchor>
    <xdr:from>
      <xdr:col>6</xdr:col>
      <xdr:colOff>806823</xdr:colOff>
      <xdr:row>17</xdr:row>
      <xdr:rowOff>128868</xdr:rowOff>
    </xdr:from>
    <xdr:to>
      <xdr:col>7</xdr:col>
      <xdr:colOff>268942</xdr:colOff>
      <xdr:row>17</xdr:row>
      <xdr:rowOff>128868</xdr:rowOff>
    </xdr:to>
    <xdr:cxnSp macro="">
      <xdr:nvCxnSpPr>
        <xdr:cNvPr id="33" name="Conector reto 32">
          <a:extLst>
            <a:ext uri="{FF2B5EF4-FFF2-40B4-BE49-F238E27FC236}">
              <a16:creationId xmlns:a16="http://schemas.microsoft.com/office/drawing/2014/main" id="{5DF6E25A-46F3-437C-B05D-C46D6835162F}"/>
            </a:ext>
          </a:extLst>
        </xdr:cNvPr>
        <xdr:cNvCxnSpPr>
          <a:cxnSpLocks/>
        </xdr:cNvCxnSpPr>
      </xdr:nvCxnSpPr>
      <xdr:spPr>
        <a:xfrm flipH="1">
          <a:off x="6067985" y="3529853"/>
          <a:ext cx="274545" cy="0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442074</xdr:colOff>
      <xdr:row>14</xdr:row>
      <xdr:rowOff>5954</xdr:rowOff>
    </xdr:from>
    <xdr:to>
      <xdr:col>11</xdr:col>
      <xdr:colOff>0</xdr:colOff>
      <xdr:row>16</xdr:row>
      <xdr:rowOff>119062</xdr:rowOff>
    </xdr:to>
    <xdr:cxnSp macro="">
      <xdr:nvCxnSpPr>
        <xdr:cNvPr id="44" name="Conector de Seta Reta 43">
          <a:extLst>
            <a:ext uri="{FF2B5EF4-FFF2-40B4-BE49-F238E27FC236}">
              <a16:creationId xmlns:a16="http://schemas.microsoft.com/office/drawing/2014/main" id="{CDC78646-EE08-4A2B-8199-6D80842BAD9E}"/>
            </a:ext>
          </a:extLst>
        </xdr:cNvPr>
        <xdr:cNvCxnSpPr/>
      </xdr:nvCxnSpPr>
      <xdr:spPr>
        <a:xfrm flipH="1" flipV="1">
          <a:off x="9086012" y="2839642"/>
          <a:ext cx="194910" cy="494108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52256</xdr:colOff>
      <xdr:row>14</xdr:row>
      <xdr:rowOff>0</xdr:rowOff>
    </xdr:from>
    <xdr:to>
      <xdr:col>12</xdr:col>
      <xdr:colOff>510886</xdr:colOff>
      <xdr:row>14</xdr:row>
      <xdr:rowOff>1544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252E9BF5-69C4-4C28-9455-D52ACC06D544}"/>
            </a:ext>
          </a:extLst>
        </xdr:cNvPr>
        <xdr:cNvCxnSpPr/>
      </xdr:nvCxnSpPr>
      <xdr:spPr>
        <a:xfrm flipV="1">
          <a:off x="5490165" y="2805545"/>
          <a:ext cx="4805494" cy="154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13608</xdr:colOff>
      <xdr:row>17</xdr:row>
      <xdr:rowOff>115661</xdr:rowOff>
    </xdr:from>
    <xdr:to>
      <xdr:col>10</xdr:col>
      <xdr:colOff>612322</xdr:colOff>
      <xdr:row>17</xdr:row>
      <xdr:rowOff>115661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A1996205-5C7D-4799-857F-4075217284AA}"/>
            </a:ext>
          </a:extLst>
        </xdr:cNvPr>
        <xdr:cNvCxnSpPr/>
      </xdr:nvCxnSpPr>
      <xdr:spPr>
        <a:xfrm flipH="1">
          <a:off x="6259287" y="3490232"/>
          <a:ext cx="2619374" cy="0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406513</xdr:colOff>
      <xdr:row>9</xdr:row>
      <xdr:rowOff>100761</xdr:rowOff>
    </xdr:from>
    <xdr:to>
      <xdr:col>8</xdr:col>
      <xdr:colOff>408057</xdr:colOff>
      <xdr:row>14</xdr:row>
      <xdr:rowOff>5953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1D14ACB4-AE8E-4EAD-9FE0-8C73269E6C82}"/>
            </a:ext>
          </a:extLst>
        </xdr:cNvPr>
        <xdr:cNvCxnSpPr/>
      </xdr:nvCxnSpPr>
      <xdr:spPr>
        <a:xfrm flipH="1">
          <a:off x="7298531" y="1917315"/>
          <a:ext cx="1544" cy="878102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501650</xdr:colOff>
      <xdr:row>9</xdr:row>
      <xdr:rowOff>27214</xdr:rowOff>
    </xdr:from>
    <xdr:to>
      <xdr:col>10</xdr:col>
      <xdr:colOff>258536</xdr:colOff>
      <xdr:row>13</xdr:row>
      <xdr:rowOff>146050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885C0D84-2796-415E-83FF-78D888B87CC4}"/>
            </a:ext>
          </a:extLst>
        </xdr:cNvPr>
        <xdr:cNvCxnSpPr/>
      </xdr:nvCxnSpPr>
      <xdr:spPr>
        <a:xfrm flipH="1">
          <a:off x="8375650" y="1862364"/>
          <a:ext cx="398236" cy="918936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263338</xdr:colOff>
      <xdr:row>3</xdr:row>
      <xdr:rowOff>116175</xdr:rowOff>
    </xdr:from>
    <xdr:to>
      <xdr:col>7</xdr:col>
      <xdr:colOff>269014</xdr:colOff>
      <xdr:row>20</xdr:row>
      <xdr:rowOff>50427</xdr:rowOff>
    </xdr:to>
    <xdr:cxnSp macro="">
      <xdr:nvCxnSpPr>
        <xdr:cNvPr id="7" name="Conector de Seta Reta 6">
          <a:extLst>
            <a:ext uri="{FF2B5EF4-FFF2-40B4-BE49-F238E27FC236}">
              <a16:creationId xmlns:a16="http://schemas.microsoft.com/office/drawing/2014/main" id="{DF275F9B-8D12-4D8B-8AA5-76922CD42AA2}"/>
            </a:ext>
          </a:extLst>
        </xdr:cNvPr>
        <xdr:cNvCxnSpPr/>
      </xdr:nvCxnSpPr>
      <xdr:spPr>
        <a:xfrm flipV="1">
          <a:off x="6330763" y="782925"/>
          <a:ext cx="5676" cy="323942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631854</xdr:colOff>
      <xdr:row>17</xdr:row>
      <xdr:rowOff>115265</xdr:rowOff>
    </xdr:from>
    <xdr:to>
      <xdr:col>12</xdr:col>
      <xdr:colOff>124279</xdr:colOff>
      <xdr:row>17</xdr:row>
      <xdr:rowOff>115360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9A3A3C13-1962-4472-A45B-099289CCA2DA}"/>
            </a:ext>
          </a:extLst>
        </xdr:cNvPr>
        <xdr:cNvCxnSpPr/>
      </xdr:nvCxnSpPr>
      <xdr:spPr>
        <a:xfrm flipH="1">
          <a:off x="9147204" y="3518865"/>
          <a:ext cx="775125" cy="9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9</xdr:row>
      <xdr:rowOff>127000</xdr:rowOff>
    </xdr:from>
    <xdr:to>
      <xdr:col>11</xdr:col>
      <xdr:colOff>0</xdr:colOff>
      <xdr:row>17</xdr:row>
      <xdr:rowOff>120650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0C49E685-6EE5-4822-8B9D-3852ED64D24C}"/>
            </a:ext>
          </a:extLst>
        </xdr:cNvPr>
        <xdr:cNvCxnSpPr/>
      </xdr:nvCxnSpPr>
      <xdr:spPr>
        <a:xfrm flipH="1" flipV="1">
          <a:off x="7308850" y="1962150"/>
          <a:ext cx="1847850" cy="15621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268941</xdr:colOff>
      <xdr:row>9</xdr:row>
      <xdr:rowOff>108457</xdr:rowOff>
    </xdr:from>
    <xdr:to>
      <xdr:col>8</xdr:col>
      <xdr:colOff>415018</xdr:colOff>
      <xdr:row>9</xdr:row>
      <xdr:rowOff>115660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9FCAC31D-E011-4C9B-9BC5-D720A63F6734}"/>
            </a:ext>
          </a:extLst>
        </xdr:cNvPr>
        <xdr:cNvCxnSpPr/>
      </xdr:nvCxnSpPr>
      <xdr:spPr>
        <a:xfrm flipH="1" flipV="1">
          <a:off x="6514620" y="1925011"/>
          <a:ext cx="792416" cy="720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374196</xdr:colOff>
      <xdr:row>14</xdr:row>
      <xdr:rowOff>34018</xdr:rowOff>
    </xdr:from>
    <xdr:to>
      <xdr:col>8</xdr:col>
      <xdr:colOff>421821</xdr:colOff>
      <xdr:row>15</xdr:row>
      <xdr:rowOff>156483</xdr:rowOff>
    </xdr:to>
    <xdr:cxnSp macro="">
      <xdr:nvCxnSpPr>
        <xdr:cNvPr id="11" name="Conector de Seta Reta 10">
          <a:extLst>
            <a:ext uri="{FF2B5EF4-FFF2-40B4-BE49-F238E27FC236}">
              <a16:creationId xmlns:a16="http://schemas.microsoft.com/office/drawing/2014/main" id="{28F51F04-4947-4ADD-8F54-55310BEF81D9}"/>
            </a:ext>
          </a:extLst>
        </xdr:cNvPr>
        <xdr:cNvCxnSpPr/>
      </xdr:nvCxnSpPr>
      <xdr:spPr>
        <a:xfrm flipV="1">
          <a:off x="7266214" y="2830286"/>
          <a:ext cx="47625" cy="312965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53937</xdr:colOff>
      <xdr:row>14</xdr:row>
      <xdr:rowOff>2191</xdr:rowOff>
    </xdr:from>
    <xdr:ext cx="466090" cy="217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88951C2B-C55F-480B-96C1-EC4394128090}"/>
            </a:ext>
          </a:extLst>
        </xdr:cNvPr>
        <xdr:cNvSpPr txBox="1"/>
      </xdr:nvSpPr>
      <xdr:spPr>
        <a:xfrm>
          <a:off x="9838710" y="2807736"/>
          <a:ext cx="46609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PREÇO</a:t>
          </a:r>
        </a:p>
      </xdr:txBody>
    </xdr:sp>
    <xdr:clientData/>
  </xdr:oneCellAnchor>
  <xdr:oneCellAnchor>
    <xdr:from>
      <xdr:col>6</xdr:col>
      <xdr:colOff>582877</xdr:colOff>
      <xdr:row>3</xdr:row>
      <xdr:rowOff>72004</xdr:rowOff>
    </xdr:from>
    <xdr:ext cx="471989" cy="21756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EFD5B27F-FACE-4C1F-8B0E-EE321E7E7DFF}"/>
            </a:ext>
          </a:extLst>
        </xdr:cNvPr>
        <xdr:cNvSpPr txBox="1"/>
      </xdr:nvSpPr>
      <xdr:spPr>
        <a:xfrm>
          <a:off x="5840677" y="738754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  <xdr:twoCellAnchor>
    <xdr:from>
      <xdr:col>6</xdr:col>
      <xdr:colOff>772805</xdr:colOff>
      <xdr:row>9</xdr:row>
      <xdr:rowOff>108456</xdr:rowOff>
    </xdr:from>
    <xdr:to>
      <xdr:col>7</xdr:col>
      <xdr:colOff>234924</xdr:colOff>
      <xdr:row>9</xdr:row>
      <xdr:rowOff>108456</xdr:rowOff>
    </xdr:to>
    <xdr:cxnSp macro="">
      <xdr:nvCxnSpPr>
        <xdr:cNvPr id="14" name="Conector reto 13">
          <a:extLst>
            <a:ext uri="{FF2B5EF4-FFF2-40B4-BE49-F238E27FC236}">
              <a16:creationId xmlns:a16="http://schemas.microsoft.com/office/drawing/2014/main" id="{1AF88824-3B53-44A8-9925-018CB3D63995}"/>
            </a:ext>
          </a:extLst>
        </xdr:cNvPr>
        <xdr:cNvCxnSpPr>
          <a:cxnSpLocks/>
        </xdr:cNvCxnSpPr>
      </xdr:nvCxnSpPr>
      <xdr:spPr>
        <a:xfrm flipH="1">
          <a:off x="6208859" y="1925010"/>
          <a:ext cx="271744" cy="0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34018</xdr:colOff>
      <xdr:row>11</xdr:row>
      <xdr:rowOff>193902</xdr:rowOff>
    </xdr:from>
    <xdr:to>
      <xdr:col>12</xdr:col>
      <xdr:colOff>47625</xdr:colOff>
      <xdr:row>13</xdr:row>
      <xdr:rowOff>149678</xdr:rowOff>
    </xdr:to>
    <xdr:cxnSp macro="">
      <xdr:nvCxnSpPr>
        <xdr:cNvPr id="15" name="Conector de Seta Reta 14">
          <a:extLst>
            <a:ext uri="{FF2B5EF4-FFF2-40B4-BE49-F238E27FC236}">
              <a16:creationId xmlns:a16="http://schemas.microsoft.com/office/drawing/2014/main" id="{EF037507-7DA0-41F7-A1CD-A8FBDD149A39}"/>
            </a:ext>
          </a:extLst>
        </xdr:cNvPr>
        <xdr:cNvCxnSpPr/>
      </xdr:nvCxnSpPr>
      <xdr:spPr>
        <a:xfrm flipH="1">
          <a:off x="8939893" y="2411866"/>
          <a:ext cx="653143" cy="34358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175600</xdr:rowOff>
    </xdr:from>
    <xdr:to>
      <xdr:col>11</xdr:col>
      <xdr:colOff>6647</xdr:colOff>
      <xdr:row>17</xdr:row>
      <xdr:rowOff>122464</xdr:rowOff>
    </xdr:to>
    <xdr:cxnSp macro="">
      <xdr:nvCxnSpPr>
        <xdr:cNvPr id="25" name="Conector reto 24">
          <a:extLst>
            <a:ext uri="{FF2B5EF4-FFF2-40B4-BE49-F238E27FC236}">
              <a16:creationId xmlns:a16="http://schemas.microsoft.com/office/drawing/2014/main" id="{75001BF0-06A6-440C-9423-278D9A988EBE}"/>
            </a:ext>
          </a:extLst>
        </xdr:cNvPr>
        <xdr:cNvCxnSpPr/>
      </xdr:nvCxnSpPr>
      <xdr:spPr>
        <a:xfrm flipH="1">
          <a:off x="8905875" y="2781368"/>
          <a:ext cx="6647" cy="722471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52256</xdr:colOff>
      <xdr:row>14</xdr:row>
      <xdr:rowOff>0</xdr:rowOff>
    </xdr:from>
    <xdr:to>
      <xdr:col>12</xdr:col>
      <xdr:colOff>510886</xdr:colOff>
      <xdr:row>14</xdr:row>
      <xdr:rowOff>1544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C2E99014-7643-4B82-9CD7-63321E167471}"/>
            </a:ext>
          </a:extLst>
        </xdr:cNvPr>
        <xdr:cNvCxnSpPr/>
      </xdr:nvCxnSpPr>
      <xdr:spPr>
        <a:xfrm flipV="1">
          <a:off x="5491031" y="2790825"/>
          <a:ext cx="4792505" cy="1544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263338</xdr:colOff>
      <xdr:row>3</xdr:row>
      <xdr:rowOff>116175</xdr:rowOff>
    </xdr:from>
    <xdr:to>
      <xdr:col>7</xdr:col>
      <xdr:colOff>269014</xdr:colOff>
      <xdr:row>20</xdr:row>
      <xdr:rowOff>50427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4FE7E7F6-BE7D-4308-8631-7E3FB10414C1}"/>
            </a:ext>
          </a:extLst>
        </xdr:cNvPr>
        <xdr:cNvCxnSpPr/>
      </xdr:nvCxnSpPr>
      <xdr:spPr>
        <a:xfrm flipV="1">
          <a:off x="6511738" y="782925"/>
          <a:ext cx="5676" cy="322990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53937</xdr:colOff>
      <xdr:row>14</xdr:row>
      <xdr:rowOff>2191</xdr:rowOff>
    </xdr:from>
    <xdr:ext cx="466090" cy="217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4AEC8CAC-FD5A-4D09-A18D-FA548F00801D}"/>
            </a:ext>
          </a:extLst>
        </xdr:cNvPr>
        <xdr:cNvSpPr txBox="1"/>
      </xdr:nvSpPr>
      <xdr:spPr>
        <a:xfrm>
          <a:off x="9826587" y="2793016"/>
          <a:ext cx="46609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PREÇO</a:t>
          </a:r>
        </a:p>
      </xdr:txBody>
    </xdr:sp>
    <xdr:clientData/>
  </xdr:oneCellAnchor>
  <xdr:oneCellAnchor>
    <xdr:from>
      <xdr:col>6</xdr:col>
      <xdr:colOff>582877</xdr:colOff>
      <xdr:row>3</xdr:row>
      <xdr:rowOff>72004</xdr:rowOff>
    </xdr:from>
    <xdr:ext cx="471989" cy="217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FB28BD41-E971-4DE2-9EB2-A7DCD64091E2}"/>
            </a:ext>
          </a:extLst>
        </xdr:cNvPr>
        <xdr:cNvSpPr txBox="1"/>
      </xdr:nvSpPr>
      <xdr:spPr>
        <a:xfrm>
          <a:off x="6021652" y="738754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  <xdr:twoCellAnchor>
    <xdr:from>
      <xdr:col>6</xdr:col>
      <xdr:colOff>772805</xdr:colOff>
      <xdr:row>9</xdr:row>
      <xdr:rowOff>108456</xdr:rowOff>
    </xdr:from>
    <xdr:to>
      <xdr:col>7</xdr:col>
      <xdr:colOff>234924</xdr:colOff>
      <xdr:row>9</xdr:row>
      <xdr:rowOff>108456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1F455D3F-075A-40F5-9D11-959F2DB53DB1}"/>
            </a:ext>
          </a:extLst>
        </xdr:cNvPr>
        <xdr:cNvCxnSpPr>
          <a:cxnSpLocks/>
        </xdr:cNvCxnSpPr>
      </xdr:nvCxnSpPr>
      <xdr:spPr>
        <a:xfrm flipH="1">
          <a:off x="6211580" y="1937256"/>
          <a:ext cx="271744" cy="0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185304</xdr:colOff>
      <xdr:row>9</xdr:row>
      <xdr:rowOff>97911</xdr:rowOff>
    </xdr:from>
    <xdr:to>
      <xdr:col>10</xdr:col>
      <xdr:colOff>605431</xdr:colOff>
      <xdr:row>9</xdr:row>
      <xdr:rowOff>107373</xdr:rowOff>
    </xdr:to>
    <xdr:cxnSp macro="">
      <xdr:nvCxnSpPr>
        <xdr:cNvPr id="17" name="Conector reto 16">
          <a:extLst>
            <a:ext uri="{FF2B5EF4-FFF2-40B4-BE49-F238E27FC236}">
              <a16:creationId xmlns:a16="http://schemas.microsoft.com/office/drawing/2014/main" id="{15122A33-A49A-4912-B492-2EBCA45EE0A5}"/>
            </a:ext>
          </a:extLst>
        </xdr:cNvPr>
        <xdr:cNvCxnSpPr/>
      </xdr:nvCxnSpPr>
      <xdr:spPr>
        <a:xfrm flipH="1">
          <a:off x="7071879" y="1936236"/>
          <a:ext cx="2525152" cy="9462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440531</xdr:colOff>
      <xdr:row>9</xdr:row>
      <xdr:rowOff>100761</xdr:rowOff>
    </xdr:from>
    <xdr:to>
      <xdr:col>10</xdr:col>
      <xdr:colOff>442075</xdr:colOff>
      <xdr:row>14</xdr:row>
      <xdr:rowOff>5953</xdr:rowOff>
    </xdr:to>
    <xdr:cxnSp macro="">
      <xdr:nvCxnSpPr>
        <xdr:cNvPr id="18" name="Conector reto 17">
          <a:extLst>
            <a:ext uri="{FF2B5EF4-FFF2-40B4-BE49-F238E27FC236}">
              <a16:creationId xmlns:a16="http://schemas.microsoft.com/office/drawing/2014/main" id="{E03E0EA0-FDD1-41B3-844A-41CD6546DD44}"/>
            </a:ext>
          </a:extLst>
        </xdr:cNvPr>
        <xdr:cNvCxnSpPr/>
      </xdr:nvCxnSpPr>
      <xdr:spPr>
        <a:xfrm flipH="1">
          <a:off x="8612981" y="1939086"/>
          <a:ext cx="1544" cy="886267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14</xdr:row>
      <xdr:rowOff>9525</xdr:rowOff>
    </xdr:from>
    <xdr:to>
      <xdr:col>9</xdr:col>
      <xdr:colOff>148166</xdr:colOff>
      <xdr:row>16</xdr:row>
      <xdr:rowOff>166689</xdr:rowOff>
    </xdr:to>
    <xdr:cxnSp macro="">
      <xdr:nvCxnSpPr>
        <xdr:cNvPr id="20" name="Conector de Seta Reta 19">
          <a:extLst>
            <a:ext uri="{FF2B5EF4-FFF2-40B4-BE49-F238E27FC236}">
              <a16:creationId xmlns:a16="http://schemas.microsoft.com/office/drawing/2014/main" id="{A7FBA6A4-EB5D-4A07-B15D-EEEAD43394A8}"/>
            </a:ext>
          </a:extLst>
        </xdr:cNvPr>
        <xdr:cNvCxnSpPr/>
      </xdr:nvCxnSpPr>
      <xdr:spPr>
        <a:xfrm flipH="1" flipV="1">
          <a:off x="8382000" y="2828925"/>
          <a:ext cx="119591" cy="547689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263338</xdr:colOff>
      <xdr:row>3</xdr:row>
      <xdr:rowOff>116175</xdr:rowOff>
    </xdr:from>
    <xdr:to>
      <xdr:col>7</xdr:col>
      <xdr:colOff>269014</xdr:colOff>
      <xdr:row>20</xdr:row>
      <xdr:rowOff>50427</xdr:rowOff>
    </xdr:to>
    <xdr:cxnSp macro="">
      <xdr:nvCxnSpPr>
        <xdr:cNvPr id="21" name="Conector de Seta Reta 20">
          <a:extLst>
            <a:ext uri="{FF2B5EF4-FFF2-40B4-BE49-F238E27FC236}">
              <a16:creationId xmlns:a16="http://schemas.microsoft.com/office/drawing/2014/main" id="{292F199C-2847-41F8-8EA8-4CE9D2FA8C71}"/>
            </a:ext>
          </a:extLst>
        </xdr:cNvPr>
        <xdr:cNvCxnSpPr/>
      </xdr:nvCxnSpPr>
      <xdr:spPr>
        <a:xfrm flipV="1">
          <a:off x="6330763" y="801975"/>
          <a:ext cx="5676" cy="323942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437725</xdr:colOff>
      <xdr:row>9</xdr:row>
      <xdr:rowOff>101203</xdr:rowOff>
    </xdr:from>
    <xdr:to>
      <xdr:col>11</xdr:col>
      <xdr:colOff>571500</xdr:colOff>
      <xdr:row>9</xdr:row>
      <xdr:rowOff>101298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AC175E44-7988-41C2-ABEF-57152EC4F1CC}"/>
            </a:ext>
          </a:extLst>
        </xdr:cNvPr>
        <xdr:cNvCxnSpPr/>
      </xdr:nvCxnSpPr>
      <xdr:spPr>
        <a:xfrm flipH="1">
          <a:off x="8610175" y="1939528"/>
          <a:ext cx="848150" cy="9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9</xdr:row>
      <xdr:rowOff>95250</xdr:rowOff>
    </xdr:from>
    <xdr:to>
      <xdr:col>10</xdr:col>
      <xdr:colOff>440531</xdr:colOff>
      <xdr:row>17</xdr:row>
      <xdr:rowOff>123825</xdr:rowOff>
    </xdr:to>
    <xdr:cxnSp macro="">
      <xdr:nvCxnSpPr>
        <xdr:cNvPr id="23" name="Conector reto 22">
          <a:extLst>
            <a:ext uri="{FF2B5EF4-FFF2-40B4-BE49-F238E27FC236}">
              <a16:creationId xmlns:a16="http://schemas.microsoft.com/office/drawing/2014/main" id="{D6430DBE-3C34-4D6A-9D74-4C830B925537}"/>
            </a:ext>
          </a:extLst>
        </xdr:cNvPr>
        <xdr:cNvCxnSpPr/>
      </xdr:nvCxnSpPr>
      <xdr:spPr>
        <a:xfrm flipH="1">
          <a:off x="6705600" y="1933575"/>
          <a:ext cx="1907381" cy="16002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268941</xdr:colOff>
      <xdr:row>17</xdr:row>
      <xdr:rowOff>126118</xdr:rowOff>
    </xdr:from>
    <xdr:to>
      <xdr:col>7</xdr:col>
      <xdr:colOff>646907</xdr:colOff>
      <xdr:row>17</xdr:row>
      <xdr:rowOff>128868</xdr:rowOff>
    </xdr:to>
    <xdr:cxnSp macro="">
      <xdr:nvCxnSpPr>
        <xdr:cNvPr id="24" name="Conector reto 23">
          <a:extLst>
            <a:ext uri="{FF2B5EF4-FFF2-40B4-BE49-F238E27FC236}">
              <a16:creationId xmlns:a16="http://schemas.microsoft.com/office/drawing/2014/main" id="{80D1419A-F446-45FB-A1FD-704F3468F720}"/>
            </a:ext>
          </a:extLst>
        </xdr:cNvPr>
        <xdr:cNvCxnSpPr/>
      </xdr:nvCxnSpPr>
      <xdr:spPr>
        <a:xfrm flipH="1">
          <a:off x="6336366" y="3536068"/>
          <a:ext cx="377966" cy="27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582877</xdr:colOff>
      <xdr:row>3</xdr:row>
      <xdr:rowOff>72004</xdr:rowOff>
    </xdr:from>
    <xdr:ext cx="471989" cy="217560"/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F3263A4F-FF61-4E9E-8263-A25CD5E0436E}"/>
            </a:ext>
          </a:extLst>
        </xdr:cNvPr>
        <xdr:cNvSpPr txBox="1"/>
      </xdr:nvSpPr>
      <xdr:spPr>
        <a:xfrm>
          <a:off x="5840677" y="757804"/>
          <a:ext cx="47198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800"/>
            <a:t>LUCRO</a:t>
          </a:r>
        </a:p>
      </xdr:txBody>
    </xdr:sp>
    <xdr:clientData/>
  </xdr:oneCellAnchor>
  <xdr:twoCellAnchor>
    <xdr:from>
      <xdr:col>6</xdr:col>
      <xdr:colOff>806823</xdr:colOff>
      <xdr:row>17</xdr:row>
      <xdr:rowOff>128868</xdr:rowOff>
    </xdr:from>
    <xdr:to>
      <xdr:col>7</xdr:col>
      <xdr:colOff>268942</xdr:colOff>
      <xdr:row>17</xdr:row>
      <xdr:rowOff>128868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id="{320C6C0A-9646-4824-B7FE-44E3DB2F3315}"/>
            </a:ext>
          </a:extLst>
        </xdr:cNvPr>
        <xdr:cNvCxnSpPr>
          <a:cxnSpLocks/>
        </xdr:cNvCxnSpPr>
      </xdr:nvCxnSpPr>
      <xdr:spPr>
        <a:xfrm flipH="1">
          <a:off x="6064623" y="3538818"/>
          <a:ext cx="271744" cy="0"/>
        </a:xfrm>
        <a:prstGeom prst="line">
          <a:avLst/>
        </a:prstGeom>
        <a:ln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442074</xdr:colOff>
      <xdr:row>14</xdr:row>
      <xdr:rowOff>5954</xdr:rowOff>
    </xdr:from>
    <xdr:to>
      <xdr:col>11</xdr:col>
      <xdr:colOff>0</xdr:colOff>
      <xdr:row>16</xdr:row>
      <xdr:rowOff>119062</xdr:rowOff>
    </xdr:to>
    <xdr:cxnSp macro="">
      <xdr:nvCxnSpPr>
        <xdr:cNvPr id="29" name="Conector de Seta Reta 28">
          <a:extLst>
            <a:ext uri="{FF2B5EF4-FFF2-40B4-BE49-F238E27FC236}">
              <a16:creationId xmlns:a16="http://schemas.microsoft.com/office/drawing/2014/main" id="{A471A7AB-D879-4573-BAEE-4DBD52E1D040}"/>
            </a:ext>
          </a:extLst>
        </xdr:cNvPr>
        <xdr:cNvCxnSpPr/>
      </xdr:nvCxnSpPr>
      <xdr:spPr>
        <a:xfrm flipH="1" flipV="1">
          <a:off x="8614524" y="2825354"/>
          <a:ext cx="272301" cy="503633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638175</xdr:colOff>
      <xdr:row>14</xdr:row>
      <xdr:rowOff>19050</xdr:rowOff>
    </xdr:from>
    <xdr:to>
      <xdr:col>7</xdr:col>
      <xdr:colOff>640556</xdr:colOff>
      <xdr:row>17</xdr:row>
      <xdr:rowOff>120253</xdr:rowOff>
    </xdr:to>
    <xdr:cxnSp macro="">
      <xdr:nvCxnSpPr>
        <xdr:cNvPr id="31" name="Conector reto 30">
          <a:extLst>
            <a:ext uri="{FF2B5EF4-FFF2-40B4-BE49-F238E27FC236}">
              <a16:creationId xmlns:a16="http://schemas.microsoft.com/office/drawing/2014/main" id="{4DA1E834-E9DB-4D76-B4BB-9349E7FABA8F}"/>
            </a:ext>
          </a:extLst>
        </xdr:cNvPr>
        <xdr:cNvCxnSpPr/>
      </xdr:nvCxnSpPr>
      <xdr:spPr>
        <a:xfrm>
          <a:off x="7524750" y="2838450"/>
          <a:ext cx="2381" cy="691753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628650</xdr:colOff>
      <xdr:row>12</xdr:row>
      <xdr:rowOff>19050</xdr:rowOff>
    </xdr:from>
    <xdr:to>
      <xdr:col>8</xdr:col>
      <xdr:colOff>371475</xdr:colOff>
      <xdr:row>13</xdr:row>
      <xdr:rowOff>142875</xdr:rowOff>
    </xdr:to>
    <xdr:cxnSp macro="">
      <xdr:nvCxnSpPr>
        <xdr:cNvPr id="34" name="Conector de Seta Reta 33">
          <a:extLst>
            <a:ext uri="{FF2B5EF4-FFF2-40B4-BE49-F238E27FC236}">
              <a16:creationId xmlns:a16="http://schemas.microsoft.com/office/drawing/2014/main" id="{D6ED1D51-EB10-4BDA-BAE2-04E2810028A8}"/>
            </a:ext>
          </a:extLst>
        </xdr:cNvPr>
        <xdr:cNvCxnSpPr/>
      </xdr:nvCxnSpPr>
      <xdr:spPr>
        <a:xfrm flipH="1">
          <a:off x="7515225" y="2457450"/>
          <a:ext cx="390525" cy="314325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39E2-0271-4F82-921E-624DF3299D75}">
  <sheetPr>
    <tabColor theme="7" tint="-0.499984740745262"/>
  </sheetPr>
  <dimension ref="A1"/>
  <sheetViews>
    <sheetView showGridLines="0" showRowColHeaders="0" tabSelected="1" topLeftCell="A38" workbookViewId="0">
      <selection activeCell="C43" sqref="C4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6931-84D6-4F8A-90D5-906A9176D2CC}">
  <sheetPr>
    <tabColor theme="0" tint="-0.499984740745262"/>
  </sheetPr>
  <dimension ref="A2:Y65"/>
  <sheetViews>
    <sheetView showGridLines="0" showRowColHeaders="0" zoomScale="110" zoomScaleNormal="110" workbookViewId="0">
      <selection activeCell="D1" sqref="D1"/>
    </sheetView>
  </sheetViews>
  <sheetFormatPr defaultRowHeight="15" x14ac:dyDescent="0.25"/>
  <cols>
    <col min="1" max="1" width="4.42578125" customWidth="1"/>
    <col min="2" max="2" width="38.85546875" customWidth="1"/>
    <col min="3" max="3" width="17.140625" style="7" customWidth="1"/>
    <col min="4" max="4" width="13.28515625" bestFit="1" customWidth="1"/>
    <col min="5" max="5" width="12" customWidth="1"/>
    <col min="6" max="7" width="12.140625" bestFit="1" customWidth="1"/>
    <col min="8" max="8" width="9.7109375" bestFit="1" customWidth="1"/>
    <col min="9" max="9" width="14.42578125" bestFit="1" customWidth="1"/>
    <col min="10" max="10" width="9.5703125" bestFit="1" customWidth="1"/>
    <col min="11" max="11" width="11" bestFit="1" customWidth="1"/>
    <col min="12" max="12" width="9.5703125" bestFit="1" customWidth="1"/>
    <col min="13" max="13" width="10" bestFit="1" customWidth="1"/>
    <col min="14" max="14" width="3.85546875" customWidth="1"/>
    <col min="15" max="15" width="14.28515625" customWidth="1"/>
    <col min="16" max="16" width="15.5703125" customWidth="1"/>
    <col min="17" max="17" width="16" customWidth="1"/>
    <col min="18" max="18" width="2.140625" customWidth="1"/>
    <col min="19" max="21" width="14.85546875" customWidth="1"/>
    <col min="22" max="22" width="2.140625" customWidth="1"/>
    <col min="23" max="24" width="16.5703125" customWidth="1"/>
    <col min="25" max="25" width="18.28515625" customWidth="1"/>
  </cols>
  <sheetData>
    <row r="2" spans="1:25" ht="22.5" x14ac:dyDescent="0.3">
      <c r="A2" s="8"/>
      <c r="B2" s="332" t="s">
        <v>53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O2" s="334" t="s">
        <v>27</v>
      </c>
      <c r="P2" s="334"/>
      <c r="Q2" s="334"/>
      <c r="R2" s="334"/>
      <c r="S2" s="334"/>
      <c r="T2" s="334"/>
      <c r="U2" s="334"/>
      <c r="W2" s="332" t="s">
        <v>58</v>
      </c>
      <c r="X2" s="332"/>
      <c r="Y2" s="332"/>
    </row>
    <row r="4" spans="1:25" ht="15" customHeight="1" x14ac:dyDescent="0.25">
      <c r="C4" s="9" t="s">
        <v>25</v>
      </c>
      <c r="D4" s="9" t="s">
        <v>0</v>
      </c>
      <c r="E4" s="9" t="s">
        <v>2</v>
      </c>
      <c r="F4" s="11"/>
      <c r="O4" s="372" t="s">
        <v>54</v>
      </c>
      <c r="P4" s="372"/>
      <c r="Q4" s="55">
        <f>I17</f>
        <v>0</v>
      </c>
      <c r="S4" s="360" t="s">
        <v>39</v>
      </c>
      <c r="T4" s="360"/>
      <c r="U4" s="117">
        <f>I17</f>
        <v>0</v>
      </c>
      <c r="W4" s="312" t="s">
        <v>91</v>
      </c>
      <c r="X4" s="312"/>
      <c r="Y4" s="312"/>
    </row>
    <row r="5" spans="1:25" x14ac:dyDescent="0.25">
      <c r="O5" s="104"/>
      <c r="P5" s="104"/>
      <c r="Q5" s="104"/>
      <c r="S5" s="360"/>
      <c r="T5" s="360"/>
      <c r="U5" s="117">
        <f>K9</f>
        <v>0</v>
      </c>
      <c r="W5" s="312"/>
      <c r="X5" s="312"/>
      <c r="Y5" s="312"/>
    </row>
    <row r="6" spans="1:25" x14ac:dyDescent="0.25">
      <c r="B6" s="132" t="s">
        <v>179</v>
      </c>
      <c r="C6" s="245"/>
      <c r="D6" s="118"/>
      <c r="E6" s="118"/>
      <c r="O6" s="371" t="s">
        <v>200</v>
      </c>
      <c r="P6" s="371"/>
      <c r="Q6" s="106">
        <f>D6</f>
        <v>0</v>
      </c>
      <c r="S6" s="51"/>
      <c r="T6" s="51"/>
      <c r="U6" s="51"/>
      <c r="W6" s="312"/>
      <c r="X6" s="312"/>
      <c r="Y6" s="312"/>
    </row>
    <row r="7" spans="1:25" x14ac:dyDescent="0.25">
      <c r="B7" s="11"/>
      <c r="I7" s="10"/>
      <c r="O7" s="105"/>
      <c r="P7" s="104"/>
      <c r="Q7" s="104"/>
      <c r="S7" s="369" t="s">
        <v>203</v>
      </c>
      <c r="T7" s="369"/>
      <c r="U7" s="34">
        <f>M12</f>
        <v>0</v>
      </c>
      <c r="W7" s="42"/>
      <c r="X7" s="42"/>
      <c r="Y7" s="42"/>
    </row>
    <row r="8" spans="1:25" ht="15.75" customHeight="1" thickBot="1" x14ac:dyDescent="0.3">
      <c r="B8" s="132" t="s">
        <v>196</v>
      </c>
      <c r="C8" s="245"/>
      <c r="D8" s="118"/>
      <c r="E8" s="118"/>
      <c r="F8" s="12"/>
      <c r="H8" s="10"/>
      <c r="O8" s="375" t="s">
        <v>194</v>
      </c>
      <c r="P8" s="375"/>
      <c r="Q8" s="105">
        <f>I17</f>
        <v>0</v>
      </c>
      <c r="S8" s="51"/>
      <c r="T8" s="51"/>
      <c r="U8" s="51"/>
      <c r="W8" s="312" t="s">
        <v>92</v>
      </c>
      <c r="X8" s="312"/>
      <c r="Y8" s="312"/>
    </row>
    <row r="9" spans="1:25" ht="15.75" thickBot="1" x14ac:dyDescent="0.3">
      <c r="B9" s="11"/>
      <c r="K9" s="27">
        <f>D6+E10</f>
        <v>0</v>
      </c>
      <c r="O9" s="104"/>
      <c r="P9" s="106"/>
      <c r="Q9" s="104"/>
      <c r="S9" s="369" t="s">
        <v>206</v>
      </c>
      <c r="T9" s="369"/>
      <c r="U9" s="369"/>
      <c r="W9" s="312"/>
      <c r="X9" s="312"/>
      <c r="Y9" s="312"/>
    </row>
    <row r="10" spans="1:25" ht="15.75" thickBot="1" x14ac:dyDescent="0.3">
      <c r="B10" s="11"/>
      <c r="D10" s="1" t="s">
        <v>3</v>
      </c>
      <c r="E10" s="28">
        <f>E8-E6</f>
        <v>0</v>
      </c>
      <c r="F10" s="12"/>
      <c r="G10" s="114">
        <f>(D6-D8)*C12+G18</f>
        <v>0</v>
      </c>
      <c r="J10" s="10"/>
      <c r="O10" s="375" t="s">
        <v>84</v>
      </c>
      <c r="P10" s="375"/>
      <c r="Q10" s="105">
        <f>Q6-Q8</f>
        <v>0</v>
      </c>
      <c r="S10" s="51"/>
      <c r="T10" s="51"/>
      <c r="U10" s="51"/>
      <c r="W10" s="312"/>
      <c r="X10" s="312"/>
      <c r="Y10" s="312"/>
    </row>
    <row r="11" spans="1:25" ht="15.75" thickBot="1" x14ac:dyDescent="0.3">
      <c r="O11" s="104"/>
      <c r="P11" s="105"/>
      <c r="Q11" s="104"/>
      <c r="S11" s="369" t="s">
        <v>79</v>
      </c>
      <c r="T11" s="369"/>
      <c r="U11" s="369"/>
      <c r="W11" s="268"/>
      <c r="X11" s="268"/>
      <c r="Y11" s="268"/>
    </row>
    <row r="12" spans="1:25" ht="14.25" customHeight="1" thickBot="1" x14ac:dyDescent="0.3">
      <c r="B12" s="69" t="s">
        <v>9</v>
      </c>
      <c r="C12" s="141"/>
      <c r="D12" s="16"/>
      <c r="E12" s="17"/>
      <c r="F12" s="16"/>
      <c r="I12" s="18"/>
      <c r="L12" s="10"/>
      <c r="M12" s="6">
        <f>D6</f>
        <v>0</v>
      </c>
      <c r="O12" s="375" t="s">
        <v>201</v>
      </c>
      <c r="P12" s="375"/>
      <c r="Q12" s="105">
        <f>E10</f>
        <v>0</v>
      </c>
      <c r="S12" s="51"/>
      <c r="T12" s="51"/>
      <c r="U12" s="51"/>
      <c r="W12" s="312" t="s">
        <v>177</v>
      </c>
      <c r="X12" s="312"/>
      <c r="Y12" s="312"/>
    </row>
    <row r="13" spans="1:25" ht="15" customHeight="1" x14ac:dyDescent="0.25">
      <c r="B13" s="15"/>
      <c r="C13"/>
      <c r="H13" s="19"/>
      <c r="O13" s="104"/>
      <c r="P13" s="104"/>
      <c r="Q13" s="104"/>
      <c r="S13" s="366" t="s">
        <v>77</v>
      </c>
      <c r="T13" s="366"/>
      <c r="U13" s="117">
        <f>(U4+U5)/2</f>
        <v>0</v>
      </c>
      <c r="W13" s="312"/>
      <c r="X13" s="312"/>
      <c r="Y13" s="312"/>
    </row>
    <row r="14" spans="1:25" x14ac:dyDescent="0.25">
      <c r="B14" s="69" t="s">
        <v>10</v>
      </c>
      <c r="C14" s="140"/>
      <c r="E14" s="20"/>
      <c r="F14" s="21"/>
      <c r="K14" s="10"/>
      <c r="O14" s="375" t="s">
        <v>70</v>
      </c>
      <c r="P14" s="375"/>
      <c r="Q14" s="105">
        <f>Q10+Q12</f>
        <v>0</v>
      </c>
      <c r="S14" s="366" t="s">
        <v>204</v>
      </c>
      <c r="T14" s="366"/>
      <c r="U14" s="117">
        <f>U7-U13</f>
        <v>0</v>
      </c>
      <c r="W14" s="312"/>
      <c r="X14" s="312"/>
      <c r="Y14" s="312"/>
    </row>
    <row r="15" spans="1:25" x14ac:dyDescent="0.25">
      <c r="B15" s="15"/>
      <c r="C15"/>
      <c r="E15" s="20"/>
      <c r="F15" s="21"/>
      <c r="K15" s="10"/>
      <c r="O15" s="104"/>
      <c r="P15" s="104"/>
      <c r="Q15" s="104"/>
      <c r="S15" s="366" t="s">
        <v>71</v>
      </c>
      <c r="T15" s="366"/>
      <c r="U15" s="226">
        <f>(E10+U14)*C12</f>
        <v>0</v>
      </c>
      <c r="W15" s="278"/>
      <c r="X15" s="278"/>
      <c r="Y15" s="278"/>
    </row>
    <row r="16" spans="1:25" ht="15.75" thickBot="1" x14ac:dyDescent="0.3">
      <c r="B16" s="20" t="s">
        <v>124</v>
      </c>
      <c r="C16" s="29">
        <f>C12*E10</f>
        <v>0</v>
      </c>
      <c r="E16" s="22"/>
      <c r="F16" s="22"/>
      <c r="K16" s="10"/>
      <c r="O16" s="107" t="s">
        <v>86</v>
      </c>
      <c r="P16" s="107"/>
      <c r="Q16" s="226">
        <f>Q14*C12</f>
        <v>0</v>
      </c>
    </row>
    <row r="17" spans="2:25" ht="15.75" thickBot="1" x14ac:dyDescent="0.3">
      <c r="B17" s="7"/>
      <c r="C17"/>
      <c r="I17" s="6">
        <f>D8</f>
        <v>0</v>
      </c>
      <c r="J17" s="23"/>
      <c r="L17" s="18"/>
      <c r="W17" s="112"/>
      <c r="X17" s="112"/>
      <c r="Y17" s="112"/>
    </row>
    <row r="18" spans="2:25" ht="15.75" thickBot="1" x14ac:dyDescent="0.3">
      <c r="B18" s="15"/>
      <c r="C18" s="10"/>
      <c r="E18" s="24">
        <f ca="1">C14-TODAY()</f>
        <v>-45121</v>
      </c>
      <c r="G18" s="114">
        <f>E10*C12</f>
        <v>0</v>
      </c>
      <c r="J18" s="14"/>
      <c r="K18" s="11"/>
      <c r="O18" s="110" t="s">
        <v>52</v>
      </c>
      <c r="P18" s="116"/>
      <c r="Q18" s="102">
        <f>M12</f>
        <v>0</v>
      </c>
      <c r="S18" s="360" t="s">
        <v>39</v>
      </c>
      <c r="T18" s="360"/>
      <c r="U18" s="117">
        <f>K9</f>
        <v>0</v>
      </c>
      <c r="W18" s="112"/>
      <c r="X18" s="112"/>
      <c r="Y18" s="112"/>
    </row>
    <row r="19" spans="2:25" ht="15" customHeight="1" x14ac:dyDescent="0.25">
      <c r="B19" s="269" t="s">
        <v>82</v>
      </c>
      <c r="I19" s="20"/>
      <c r="J19" s="25"/>
      <c r="K19" s="25"/>
      <c r="O19" s="92"/>
      <c r="P19" s="92"/>
      <c r="Q19" s="92"/>
      <c r="S19" s="360"/>
      <c r="T19" s="360"/>
      <c r="U19" s="117">
        <f>M12</f>
        <v>0</v>
      </c>
      <c r="W19" s="112"/>
      <c r="X19" s="112"/>
      <c r="Y19" s="112"/>
    </row>
    <row r="20" spans="2:25" x14ac:dyDescent="0.25">
      <c r="B20" s="269"/>
      <c r="H20" s="10"/>
      <c r="I20" s="7"/>
      <c r="J20" s="11"/>
      <c r="K20" s="11"/>
      <c r="O20" s="374" t="s">
        <v>202</v>
      </c>
      <c r="P20" s="374"/>
      <c r="Q20" s="374"/>
      <c r="S20" s="51"/>
      <c r="T20" s="51"/>
      <c r="U20" s="51"/>
    </row>
    <row r="21" spans="2:25" x14ac:dyDescent="0.25">
      <c r="I21" s="20"/>
      <c r="J21" s="25"/>
      <c r="K21" s="25"/>
      <c r="O21" s="92"/>
      <c r="P21" s="92"/>
      <c r="Q21" s="92"/>
      <c r="S21" s="369" t="s">
        <v>103</v>
      </c>
      <c r="T21" s="369"/>
      <c r="U21" s="34">
        <f>U7</f>
        <v>0</v>
      </c>
      <c r="W21" s="112"/>
      <c r="X21" s="112"/>
      <c r="Y21" s="112"/>
    </row>
    <row r="22" spans="2:25" x14ac:dyDescent="0.25">
      <c r="F22" s="10"/>
      <c r="O22" s="374" t="s">
        <v>97</v>
      </c>
      <c r="P22" s="374"/>
      <c r="Q22" s="374"/>
      <c r="S22" s="51"/>
      <c r="T22" s="51"/>
      <c r="U22" s="51"/>
      <c r="W22" s="112"/>
      <c r="X22" s="112"/>
      <c r="Y22" s="112"/>
    </row>
    <row r="23" spans="2:25" ht="22.5" x14ac:dyDescent="0.3">
      <c r="G23" s="332" t="s">
        <v>94</v>
      </c>
      <c r="H23" s="332"/>
      <c r="I23" s="332"/>
      <c r="O23" s="92"/>
      <c r="P23" s="92"/>
      <c r="Q23" s="92"/>
      <c r="S23" s="357" t="s">
        <v>205</v>
      </c>
      <c r="T23" s="357"/>
      <c r="U23" s="357"/>
      <c r="W23" s="112"/>
      <c r="X23" s="112"/>
      <c r="Y23" s="112"/>
    </row>
    <row r="24" spans="2:25" x14ac:dyDescent="0.25">
      <c r="O24" s="374" t="s">
        <v>87</v>
      </c>
      <c r="P24" s="374"/>
      <c r="Q24" s="93">
        <f>E10</f>
        <v>0</v>
      </c>
      <c r="S24" s="51"/>
      <c r="T24" s="51"/>
      <c r="U24" s="51"/>
      <c r="W24" s="7"/>
      <c r="X24" s="7"/>
      <c r="Y24" s="7"/>
    </row>
    <row r="25" spans="2:25" x14ac:dyDescent="0.25">
      <c r="C25" s="26"/>
      <c r="G25" s="350" t="s">
        <v>28</v>
      </c>
      <c r="H25" s="350"/>
      <c r="I25" s="230">
        <v>29.8</v>
      </c>
      <c r="K25" s="10"/>
      <c r="O25" s="92"/>
      <c r="P25" s="92"/>
      <c r="Q25" s="92"/>
      <c r="S25" s="51" t="s">
        <v>80</v>
      </c>
      <c r="T25" s="51"/>
      <c r="U25" s="51"/>
      <c r="W25" s="112"/>
      <c r="X25" s="112"/>
      <c r="Y25" s="112"/>
    </row>
    <row r="26" spans="2:25" ht="15" customHeight="1" x14ac:dyDescent="0.25">
      <c r="B26" s="314" t="s">
        <v>82</v>
      </c>
      <c r="C26" s="314"/>
      <c r="D26" s="314"/>
      <c r="E26" s="314"/>
      <c r="K26" s="10"/>
      <c r="O26" s="367" t="s">
        <v>71</v>
      </c>
      <c r="P26" s="367"/>
      <c r="Q26" s="226">
        <f>Q24*C12</f>
        <v>0</v>
      </c>
      <c r="S26" s="51"/>
      <c r="T26" s="51"/>
      <c r="U26" s="51"/>
      <c r="W26" s="112"/>
      <c r="X26" s="112"/>
      <c r="Y26" s="112"/>
    </row>
    <row r="27" spans="2:25" x14ac:dyDescent="0.25">
      <c r="B27" s="314"/>
      <c r="C27" s="314"/>
      <c r="D27" s="314"/>
      <c r="E27" s="314"/>
      <c r="G27" s="350" t="s">
        <v>71</v>
      </c>
      <c r="H27" s="350"/>
      <c r="I27" s="229">
        <f>IF((I25&lt;I17),G10,IF(AND((I25&gt;=I17),(I25&lt;K9)),((I17-I25)*C12)+G10,IF(AND((I25&gt;=K9),(I25&lt;=M12)),((M12-I25)*C12)+G18,G18)))</f>
        <v>0</v>
      </c>
      <c r="K27" s="10"/>
      <c r="S27" s="366" t="s">
        <v>77</v>
      </c>
      <c r="T27" s="366"/>
      <c r="U27" s="117">
        <f>(U19+U18)/2</f>
        <v>0</v>
      </c>
      <c r="W27" s="112"/>
      <c r="X27" s="112"/>
      <c r="Y27" s="112"/>
    </row>
    <row r="28" spans="2:25" x14ac:dyDescent="0.25">
      <c r="S28" s="366" t="s">
        <v>31</v>
      </c>
      <c r="T28" s="366"/>
      <c r="U28" s="117">
        <f>U21-U27</f>
        <v>0</v>
      </c>
    </row>
    <row r="29" spans="2:25" x14ac:dyDescent="0.25">
      <c r="S29" s="366" t="s">
        <v>71</v>
      </c>
      <c r="T29" s="366"/>
      <c r="U29" s="226">
        <f>U28*C12+G18</f>
        <v>0</v>
      </c>
    </row>
    <row r="30" spans="2:25" ht="27" x14ac:dyDescent="0.4">
      <c r="B30" s="311" t="s">
        <v>164</v>
      </c>
      <c r="C30" s="311"/>
      <c r="D30" s="311"/>
      <c r="E30" s="311"/>
    </row>
    <row r="31" spans="2:25" x14ac:dyDescent="0.25">
      <c r="B31" s="120"/>
      <c r="C31" s="129"/>
      <c r="D31" s="120"/>
      <c r="E31" s="120"/>
    </row>
    <row r="32" spans="2:25" x14ac:dyDescent="0.25">
      <c r="B32" s="364" t="s">
        <v>182</v>
      </c>
      <c r="C32" s="364"/>
      <c r="D32" s="364"/>
      <c r="E32" s="216">
        <f>M12</f>
        <v>0</v>
      </c>
    </row>
    <row r="34" spans="2:5" x14ac:dyDescent="0.25">
      <c r="B34" s="175" t="s">
        <v>130</v>
      </c>
      <c r="C34" s="176" t="s">
        <v>131</v>
      </c>
      <c r="D34" s="175" t="s">
        <v>132</v>
      </c>
      <c r="E34" s="175" t="s">
        <v>133</v>
      </c>
    </row>
    <row r="35" spans="2:5" x14ac:dyDescent="0.25">
      <c r="B35" s="120"/>
      <c r="C35" s="129"/>
      <c r="D35" s="120"/>
      <c r="E35" s="120"/>
    </row>
    <row r="36" spans="2:5" x14ac:dyDescent="0.25">
      <c r="B36" s="177" t="s">
        <v>139</v>
      </c>
      <c r="C36" s="276">
        <f>C12*E6</f>
        <v>0</v>
      </c>
      <c r="D36" s="179"/>
      <c r="E36" s="190">
        <f>E35+D36-C36</f>
        <v>0</v>
      </c>
    </row>
    <row r="37" spans="2:5" x14ac:dyDescent="0.25">
      <c r="B37" s="214" t="s">
        <v>197</v>
      </c>
      <c r="C37" s="208"/>
      <c r="D37" s="277">
        <f>E8*C12</f>
        <v>0</v>
      </c>
      <c r="E37" s="226">
        <f>E36+D37-C37</f>
        <v>0</v>
      </c>
    </row>
    <row r="38" spans="2:5" x14ac:dyDescent="0.25">
      <c r="B38" s="201"/>
      <c r="C38" s="210"/>
      <c r="D38" s="203"/>
      <c r="E38" s="192"/>
    </row>
    <row r="39" spans="2:5" x14ac:dyDescent="0.25">
      <c r="B39" s="191"/>
      <c r="C39" s="209"/>
      <c r="D39" s="195"/>
      <c r="E39" s="192"/>
    </row>
    <row r="40" spans="2:5" x14ac:dyDescent="0.25">
      <c r="B40" s="191"/>
      <c r="C40" s="220"/>
      <c r="D40" s="192"/>
      <c r="E40" s="192"/>
    </row>
    <row r="41" spans="2:5" ht="27" x14ac:dyDescent="0.4">
      <c r="B41" s="311" t="s">
        <v>164</v>
      </c>
      <c r="C41" s="311"/>
      <c r="D41" s="311"/>
      <c r="E41" s="311"/>
    </row>
    <row r="42" spans="2:5" x14ac:dyDescent="0.25">
      <c r="B42" s="120"/>
      <c r="C42" s="129"/>
      <c r="D42" s="120"/>
      <c r="E42" s="120"/>
    </row>
    <row r="43" spans="2:5" x14ac:dyDescent="0.25">
      <c r="B43" s="364" t="s">
        <v>167</v>
      </c>
      <c r="C43" s="364"/>
      <c r="D43" s="216">
        <f>I17</f>
        <v>0</v>
      </c>
      <c r="E43" s="216">
        <f>M12</f>
        <v>0</v>
      </c>
    </row>
    <row r="45" spans="2:5" x14ac:dyDescent="0.25">
      <c r="B45" s="175" t="s">
        <v>130</v>
      </c>
      <c r="C45" s="176" t="s">
        <v>131</v>
      </c>
      <c r="D45" s="175" t="s">
        <v>132</v>
      </c>
      <c r="E45" s="175" t="s">
        <v>133</v>
      </c>
    </row>
    <row r="46" spans="2:5" x14ac:dyDescent="0.25">
      <c r="B46" s="120"/>
      <c r="C46" s="129"/>
      <c r="D46" s="120"/>
      <c r="E46" s="120"/>
    </row>
    <row r="47" spans="2:5" x14ac:dyDescent="0.25">
      <c r="B47" s="177" t="s">
        <v>139</v>
      </c>
      <c r="C47" s="276">
        <f>C36</f>
        <v>0</v>
      </c>
      <c r="D47" s="179"/>
      <c r="E47" s="179">
        <f>E46+D47-C47</f>
        <v>0</v>
      </c>
    </row>
    <row r="48" spans="2:5" x14ac:dyDescent="0.25">
      <c r="B48" s="214" t="s">
        <v>197</v>
      </c>
      <c r="C48" s="208"/>
      <c r="D48" s="277">
        <f>D37</f>
        <v>0</v>
      </c>
      <c r="E48" s="200">
        <f>E47+D48-C48</f>
        <v>0</v>
      </c>
    </row>
    <row r="49" spans="2:8" x14ac:dyDescent="0.25">
      <c r="B49" s="178" t="s">
        <v>198</v>
      </c>
      <c r="C49" s="179"/>
      <c r="D49" s="219">
        <f>D6*C12</f>
        <v>0</v>
      </c>
      <c r="E49" s="225">
        <f t="shared" ref="E49" si="0">E48+D49-C49</f>
        <v>0</v>
      </c>
      <c r="F49" s="373" t="s">
        <v>151</v>
      </c>
      <c r="G49" s="217">
        <f>D43</f>
        <v>0</v>
      </c>
      <c r="H49" s="368">
        <v>29.78</v>
      </c>
    </row>
    <row r="50" spans="2:8" x14ac:dyDescent="0.25">
      <c r="B50" s="221" t="s">
        <v>175</v>
      </c>
      <c r="C50" s="208">
        <f>H49*C12</f>
        <v>0</v>
      </c>
      <c r="D50" s="224"/>
      <c r="E50" s="226">
        <f>E49+D50-C50</f>
        <v>0</v>
      </c>
      <c r="F50" s="365"/>
      <c r="G50" s="217">
        <f>E43</f>
        <v>0</v>
      </c>
      <c r="H50" s="368"/>
    </row>
    <row r="51" spans="2:8" x14ac:dyDescent="0.25">
      <c r="B51" s="202"/>
      <c r="C51" s="222"/>
      <c r="D51" s="223"/>
      <c r="E51" s="194"/>
    </row>
    <row r="52" spans="2:8" x14ac:dyDescent="0.25">
      <c r="B52" s="193"/>
      <c r="C52" s="196"/>
      <c r="D52" s="7"/>
      <c r="E52" s="192"/>
    </row>
    <row r="54" spans="2:8" ht="27" x14ac:dyDescent="0.4">
      <c r="B54" s="311" t="s">
        <v>164</v>
      </c>
      <c r="C54" s="311"/>
      <c r="D54" s="311"/>
      <c r="E54" s="311"/>
    </row>
    <row r="55" spans="2:8" x14ac:dyDescent="0.25">
      <c r="B55" s="120"/>
      <c r="C55" s="129"/>
      <c r="D55" s="120"/>
      <c r="E55" s="120"/>
    </row>
    <row r="56" spans="2:8" x14ac:dyDescent="0.25">
      <c r="B56" s="364" t="s">
        <v>186</v>
      </c>
      <c r="C56" s="364"/>
      <c r="D56" s="364"/>
      <c r="E56" s="216">
        <f>M12</f>
        <v>0</v>
      </c>
    </row>
    <row r="58" spans="2:8" x14ac:dyDescent="0.25">
      <c r="B58" s="175" t="s">
        <v>130</v>
      </c>
      <c r="C58" s="176" t="s">
        <v>131</v>
      </c>
      <c r="D58" s="175" t="s">
        <v>132</v>
      </c>
      <c r="E58" s="175" t="s">
        <v>133</v>
      </c>
    </row>
    <row r="59" spans="2:8" x14ac:dyDescent="0.25">
      <c r="B59" s="120"/>
      <c r="C59" s="129"/>
      <c r="D59" s="120"/>
      <c r="E59" s="120"/>
    </row>
    <row r="60" spans="2:8" x14ac:dyDescent="0.25">
      <c r="B60" s="177" t="s">
        <v>139</v>
      </c>
      <c r="C60" s="276">
        <f>C36</f>
        <v>0</v>
      </c>
      <c r="D60" s="179"/>
      <c r="E60" s="179">
        <f>E59+D60-C60</f>
        <v>0</v>
      </c>
    </row>
    <row r="61" spans="2:8" x14ac:dyDescent="0.25">
      <c r="B61" s="214" t="s">
        <v>197</v>
      </c>
      <c r="C61" s="208"/>
      <c r="D61" s="277">
        <f>D37</f>
        <v>0</v>
      </c>
      <c r="E61" s="183">
        <f>E60+D61-C61</f>
        <v>0</v>
      </c>
    </row>
    <row r="62" spans="2:8" x14ac:dyDescent="0.25">
      <c r="B62" s="178" t="s">
        <v>199</v>
      </c>
      <c r="C62" s="218"/>
      <c r="D62" s="219">
        <f>D6*C12</f>
        <v>0</v>
      </c>
      <c r="E62" s="219">
        <f t="shared" ref="E62:E63" si="1">E61+D62-C62</f>
        <v>0</v>
      </c>
    </row>
    <row r="63" spans="2:8" x14ac:dyDescent="0.25">
      <c r="B63" s="187" t="s">
        <v>194</v>
      </c>
      <c r="C63" s="181">
        <f>D8*C12</f>
        <v>0</v>
      </c>
      <c r="D63" s="184"/>
      <c r="E63" s="226">
        <f t="shared" si="1"/>
        <v>0</v>
      </c>
    </row>
    <row r="64" spans="2:8" x14ac:dyDescent="0.25">
      <c r="B64" s="193"/>
      <c r="D64" s="194"/>
      <c r="E64" s="194"/>
    </row>
    <row r="65" spans="2:5" x14ac:dyDescent="0.25">
      <c r="B65" s="193"/>
      <c r="C65" s="196"/>
      <c r="D65" s="7"/>
      <c r="E65" s="192"/>
    </row>
  </sheetData>
  <sheetProtection sheet="1" objects="1" scenarios="1"/>
  <mergeCells count="41">
    <mergeCell ref="F49:F50"/>
    <mergeCell ref="H49:H50"/>
    <mergeCell ref="B54:E54"/>
    <mergeCell ref="B56:D56"/>
    <mergeCell ref="S23:U23"/>
    <mergeCell ref="S28:T28"/>
    <mergeCell ref="S29:T29"/>
    <mergeCell ref="B30:E30"/>
    <mergeCell ref="B32:D32"/>
    <mergeCell ref="B41:E41"/>
    <mergeCell ref="B43:C43"/>
    <mergeCell ref="O24:P24"/>
    <mergeCell ref="G25:H25"/>
    <mergeCell ref="B26:E27"/>
    <mergeCell ref="O26:P26"/>
    <mergeCell ref="G27:H27"/>
    <mergeCell ref="S27:T27"/>
    <mergeCell ref="S18:T19"/>
    <mergeCell ref="O20:Q20"/>
    <mergeCell ref="S21:T21"/>
    <mergeCell ref="O22:Q22"/>
    <mergeCell ref="G23:I23"/>
    <mergeCell ref="O12:P12"/>
    <mergeCell ref="S13:T13"/>
    <mergeCell ref="O14:P14"/>
    <mergeCell ref="S14:T14"/>
    <mergeCell ref="S15:T15"/>
    <mergeCell ref="W12:Y14"/>
    <mergeCell ref="S7:T7"/>
    <mergeCell ref="O8:P8"/>
    <mergeCell ref="W8:Y10"/>
    <mergeCell ref="S9:U9"/>
    <mergeCell ref="O10:P10"/>
    <mergeCell ref="S11:U11"/>
    <mergeCell ref="B2:M2"/>
    <mergeCell ref="O2:U2"/>
    <mergeCell ref="W2:Y2"/>
    <mergeCell ref="O4:P4"/>
    <mergeCell ref="S4:T5"/>
    <mergeCell ref="W4:Y6"/>
    <mergeCell ref="O6:P6"/>
  </mergeCells>
  <conditionalFormatting sqref="E37">
    <cfRule type="cellIs" dxfId="25" priority="15" operator="lessThan">
      <formula>0</formula>
    </cfRule>
    <cfRule type="cellIs" dxfId="24" priority="16" operator="greaterThan">
      <formula>0</formula>
    </cfRule>
  </conditionalFormatting>
  <conditionalFormatting sqref="E39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E50">
    <cfRule type="cellIs" dxfId="21" priority="13" operator="lessThan">
      <formula>0</formula>
    </cfRule>
    <cfRule type="cellIs" dxfId="20" priority="14" operator="greaterThan">
      <formula>0</formula>
    </cfRule>
  </conditionalFormatting>
  <conditionalFormatting sqref="E52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E63">
    <cfRule type="cellIs" dxfId="17" priority="11" operator="lessThan">
      <formula>0</formula>
    </cfRule>
    <cfRule type="cellIs" dxfId="16" priority="12" operator="greaterThan">
      <formula>0</formula>
    </cfRule>
  </conditionalFormatting>
  <conditionalFormatting sqref="E65">
    <cfRule type="cellIs" dxfId="15" priority="21" operator="lessThan">
      <formula>0</formula>
    </cfRule>
    <cfRule type="cellIs" dxfId="14" priority="22" operator="greaterThan">
      <formula>0</formula>
    </cfRule>
  </conditionalFormatting>
  <conditionalFormatting sqref="G10">
    <cfRule type="cellIs" dxfId="13" priority="19" operator="lessThan">
      <formula>0</formula>
    </cfRule>
    <cfRule type="cellIs" dxfId="12" priority="20" operator="greaterThan">
      <formula>0</formula>
    </cfRule>
  </conditionalFormatting>
  <conditionalFormatting sqref="G18"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I27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Q16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Q2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U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U29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decimal" allowBlank="1" showInputMessage="1" showErrorMessage="1" sqref="H49:H50" xr:uid="{2D025534-9498-42AD-ABF7-D77E132C40E5}">
      <formula1>G49</formula1>
      <formula2>G50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ED61-97E3-4378-8F28-41B353714D08}">
  <sheetPr>
    <tabColor rgb="FF00B050"/>
  </sheetPr>
  <dimension ref="B2:D13"/>
  <sheetViews>
    <sheetView showGridLines="0" showRowColHeaders="0" zoomScale="230" zoomScaleNormal="230" workbookViewId="0">
      <selection activeCell="E13" sqref="E13"/>
    </sheetView>
  </sheetViews>
  <sheetFormatPr defaultRowHeight="15" x14ac:dyDescent="0.25"/>
  <cols>
    <col min="2" max="2" width="20.42578125" customWidth="1"/>
    <col min="3" max="3" width="12.7109375" customWidth="1"/>
    <col min="4" max="4" width="14.42578125" bestFit="1" customWidth="1"/>
    <col min="5" max="5" width="21" customWidth="1"/>
  </cols>
  <sheetData>
    <row r="2" spans="2:4" ht="15.75" x14ac:dyDescent="0.25">
      <c r="B2" s="281" t="s">
        <v>28</v>
      </c>
      <c r="C2" s="285"/>
    </row>
    <row r="4" spans="2:4" ht="15.75" x14ac:dyDescent="0.25">
      <c r="B4" s="281" t="s">
        <v>207</v>
      </c>
      <c r="C4" s="285"/>
    </row>
    <row r="6" spans="2:4" ht="15.75" x14ac:dyDescent="0.25">
      <c r="B6" s="281" t="s">
        <v>208</v>
      </c>
      <c r="C6" s="285"/>
      <c r="D6" s="283" t="str">
        <f>IF((C6-C11)&lt;0,"ERRO","")</f>
        <v/>
      </c>
    </row>
    <row r="11" spans="2:4" ht="15.75" x14ac:dyDescent="0.25">
      <c r="B11" s="279" t="s">
        <v>209</v>
      </c>
      <c r="C11" s="280">
        <f>IF((C2-C4)&lt;0,0,(C2-C4))</f>
        <v>0</v>
      </c>
      <c r="D11" s="284" t="str">
        <f>IF((D6)="ERRO","DESCONSIDERE","")</f>
        <v/>
      </c>
    </row>
    <row r="13" spans="2:4" ht="15.75" x14ac:dyDescent="0.25">
      <c r="B13" s="279" t="s">
        <v>210</v>
      </c>
      <c r="C13" s="282">
        <f>IF((C6-C11)&lt;0,"ERRO",(C6-C11))</f>
        <v>0</v>
      </c>
    </row>
  </sheetData>
  <sheetProtection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65576-9AF1-46B0-9492-BEB50129BC11}">
  <sheetPr>
    <tabColor theme="9" tint="-0.499984740745262"/>
  </sheetPr>
  <dimension ref="A1:U49"/>
  <sheetViews>
    <sheetView showGridLines="0" showRowColHeaders="0" topLeftCell="B1" zoomScale="150" zoomScaleNormal="150" workbookViewId="0">
      <selection activeCell="C13" sqref="C13"/>
    </sheetView>
  </sheetViews>
  <sheetFormatPr defaultRowHeight="15" x14ac:dyDescent="0.25"/>
  <cols>
    <col min="1" max="1" width="4.42578125" customWidth="1"/>
    <col min="2" max="2" width="22.5703125" customWidth="1"/>
    <col min="3" max="3" width="17.140625" style="7" customWidth="1"/>
    <col min="4" max="4" width="13.28515625" bestFit="1" customWidth="1"/>
    <col min="5" max="5" width="14.5703125" bestFit="1" customWidth="1"/>
    <col min="6" max="6" width="15.7109375" customWidth="1"/>
    <col min="7" max="7" width="12.140625" bestFit="1" customWidth="1"/>
    <col min="8" max="8" width="9.7109375" bestFit="1" customWidth="1"/>
    <col min="9" max="9" width="11" bestFit="1" customWidth="1"/>
    <col min="10" max="10" width="9.85546875" bestFit="1" customWidth="1"/>
    <col min="11" max="11" width="10.85546875" bestFit="1" customWidth="1"/>
    <col min="12" max="12" width="5" customWidth="1"/>
    <col min="13" max="13" width="2.7109375" customWidth="1"/>
    <col min="14" max="14" width="26.85546875" customWidth="1"/>
    <col min="15" max="15" width="12.7109375" bestFit="1" customWidth="1"/>
    <col min="16" max="16" width="2" customWidth="1"/>
    <col min="17" max="17" width="13.7109375" bestFit="1" customWidth="1"/>
    <col min="19" max="19" width="12.140625" bestFit="1" customWidth="1"/>
    <col min="21" max="21" width="9.85546875" bestFit="1" customWidth="1"/>
  </cols>
  <sheetData>
    <row r="1" spans="1:21" ht="15.75" thickBot="1" x14ac:dyDescent="0.3"/>
    <row r="2" spans="1:21" ht="21.75" thickBot="1" x14ac:dyDescent="0.35">
      <c r="A2" s="8"/>
      <c r="B2" s="315" t="s">
        <v>53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90"/>
      <c r="N2" s="318" t="s">
        <v>27</v>
      </c>
      <c r="O2" s="318"/>
      <c r="Q2" s="318" t="s">
        <v>58</v>
      </c>
      <c r="R2" s="318"/>
      <c r="S2" s="318"/>
    </row>
    <row r="3" spans="1:21" x14ac:dyDescent="0.25">
      <c r="Q3" s="12"/>
    </row>
    <row r="4" spans="1:21" x14ac:dyDescent="0.25">
      <c r="C4" s="9" t="s">
        <v>25</v>
      </c>
      <c r="D4" s="9" t="s">
        <v>0</v>
      </c>
      <c r="E4" s="9" t="s">
        <v>2</v>
      </c>
      <c r="F4" s="9" t="s">
        <v>1</v>
      </c>
      <c r="I4" s="91">
        <f ca="1">TODAY()</f>
        <v>45121</v>
      </c>
      <c r="N4" s="158" t="s">
        <v>52</v>
      </c>
      <c r="O4" s="159">
        <f>J12</f>
        <v>0</v>
      </c>
      <c r="Q4" s="322" t="s">
        <v>65</v>
      </c>
      <c r="R4" s="322"/>
      <c r="S4" s="322"/>
    </row>
    <row r="5" spans="1:21" x14ac:dyDescent="0.25">
      <c r="I5" s="46">
        <f ca="1">C12-I4</f>
        <v>-45121</v>
      </c>
      <c r="N5" s="97"/>
      <c r="O5" s="97"/>
      <c r="Q5" s="322"/>
      <c r="R5" s="322"/>
      <c r="S5" s="322"/>
    </row>
    <row r="6" spans="1:21" x14ac:dyDescent="0.25">
      <c r="B6" s="132" t="s">
        <v>19</v>
      </c>
      <c r="C6" s="75"/>
      <c r="D6" s="88"/>
      <c r="E6" s="88"/>
      <c r="F6" s="76"/>
      <c r="N6" s="160" t="s">
        <v>49</v>
      </c>
      <c r="O6" s="98">
        <f>D8</f>
        <v>0</v>
      </c>
      <c r="Q6" s="322"/>
      <c r="R6" s="322"/>
      <c r="S6" s="322"/>
      <c r="U6" s="8"/>
    </row>
    <row r="7" spans="1:21" ht="15.75" thickBot="1" x14ac:dyDescent="0.3">
      <c r="B7" s="11"/>
      <c r="N7" s="97"/>
      <c r="O7" s="97"/>
      <c r="Q7" s="42"/>
      <c r="R7" s="42"/>
      <c r="S7" s="42"/>
    </row>
    <row r="8" spans="1:21" ht="15.75" thickBot="1" x14ac:dyDescent="0.3">
      <c r="B8" s="132" t="s">
        <v>45</v>
      </c>
      <c r="C8" s="75"/>
      <c r="D8" s="76"/>
      <c r="E8" s="76"/>
      <c r="F8" s="12"/>
      <c r="G8" s="4">
        <f>(D8-(F6-E8))*C10</f>
        <v>0</v>
      </c>
      <c r="H8" s="10"/>
      <c r="N8" s="160" t="s">
        <v>50</v>
      </c>
      <c r="O8" s="98">
        <f>F12</f>
        <v>0</v>
      </c>
      <c r="Q8" s="323" t="s">
        <v>59</v>
      </c>
      <c r="R8" s="323"/>
      <c r="S8" s="323"/>
    </row>
    <row r="9" spans="1:21" x14ac:dyDescent="0.25">
      <c r="B9" s="11"/>
      <c r="C9" s="246"/>
      <c r="D9" s="247"/>
      <c r="E9" s="247"/>
      <c r="F9" s="12"/>
      <c r="H9" s="10"/>
      <c r="N9" s="97"/>
      <c r="O9" s="97"/>
      <c r="Q9" s="323"/>
      <c r="R9" s="323"/>
      <c r="S9" s="323"/>
    </row>
    <row r="10" spans="1:21" ht="15" customHeight="1" x14ac:dyDescent="0.25">
      <c r="B10" s="69" t="s">
        <v>9</v>
      </c>
      <c r="C10" s="77"/>
      <c r="E10" s="20" t="s">
        <v>11</v>
      </c>
      <c r="F10" s="73">
        <f>C10*F6-(C10*E8)</f>
        <v>0</v>
      </c>
      <c r="H10" s="10"/>
      <c r="N10" s="160" t="s">
        <v>31</v>
      </c>
      <c r="O10" s="98">
        <f>O6-O8</f>
        <v>0</v>
      </c>
      <c r="Q10" s="323"/>
      <c r="R10" s="323"/>
      <c r="S10" s="323"/>
    </row>
    <row r="11" spans="1:21" ht="15.75" thickBot="1" x14ac:dyDescent="0.3">
      <c r="H11" s="10"/>
      <c r="N11" s="97"/>
      <c r="O11" s="97"/>
      <c r="Q11" s="323"/>
      <c r="R11" s="323"/>
      <c r="S11" s="323"/>
    </row>
    <row r="12" spans="1:21" ht="15.75" thickBot="1" x14ac:dyDescent="0.3">
      <c r="B12" s="69" t="s">
        <v>10</v>
      </c>
      <c r="C12" s="78"/>
      <c r="E12" s="72" t="s">
        <v>41</v>
      </c>
      <c r="F12" s="33">
        <f>F6-E8</f>
        <v>0</v>
      </c>
      <c r="H12" s="10"/>
      <c r="J12" s="6">
        <f>D8</f>
        <v>0</v>
      </c>
      <c r="N12" s="160" t="s">
        <v>51</v>
      </c>
      <c r="O12" s="161" t="e">
        <f>C18</f>
        <v>#DIV/0!</v>
      </c>
      <c r="Q12" s="41"/>
      <c r="R12" s="42"/>
      <c r="S12" s="41"/>
    </row>
    <row r="13" spans="1:21" ht="15" customHeight="1" thickBot="1" x14ac:dyDescent="0.3">
      <c r="B13" s="11"/>
      <c r="D13" s="12"/>
      <c r="E13" s="12"/>
      <c r="F13" s="12"/>
      <c r="H13" s="10"/>
      <c r="P13" s="10"/>
      <c r="Q13" s="325" t="s">
        <v>60</v>
      </c>
      <c r="R13" s="325"/>
      <c r="S13" s="325"/>
    </row>
    <row r="14" spans="1:21" ht="15" customHeight="1" thickBot="1" x14ac:dyDescent="0.3">
      <c r="B14" s="11"/>
      <c r="C14"/>
      <c r="H14" s="10"/>
      <c r="I14" s="6">
        <f>F12</f>
        <v>0</v>
      </c>
      <c r="N14" s="101" t="s">
        <v>54</v>
      </c>
      <c r="O14" s="102">
        <f>D8</f>
        <v>0</v>
      </c>
      <c r="P14" s="10"/>
      <c r="Q14" s="42"/>
      <c r="R14" s="162"/>
      <c r="S14" s="162"/>
    </row>
    <row r="15" spans="1:21" x14ac:dyDescent="0.25">
      <c r="B15" s="11"/>
      <c r="C15"/>
      <c r="G15" s="37"/>
      <c r="H15" s="10"/>
      <c r="N15" s="92"/>
      <c r="O15" s="93"/>
      <c r="P15" s="10"/>
      <c r="Q15" s="313" t="s">
        <v>61</v>
      </c>
      <c r="R15" s="313"/>
      <c r="S15" s="313"/>
    </row>
    <row r="16" spans="1:21" x14ac:dyDescent="0.25">
      <c r="C16" s="9" t="s">
        <v>48</v>
      </c>
      <c r="D16" s="89" t="s">
        <v>8</v>
      </c>
      <c r="K16" s="14"/>
      <c r="N16" s="94" t="s">
        <v>115</v>
      </c>
      <c r="O16" s="93"/>
      <c r="P16" s="8"/>
      <c r="Q16" s="313"/>
      <c r="R16" s="313"/>
      <c r="S16" s="313"/>
    </row>
    <row r="17" spans="2:19" x14ac:dyDescent="0.25">
      <c r="C17" s="12"/>
      <c r="D17" s="12"/>
      <c r="G17" s="10"/>
      <c r="H17" s="10"/>
      <c r="I17" s="10"/>
      <c r="J17" s="10"/>
      <c r="N17" s="92"/>
      <c r="O17" s="92"/>
      <c r="P17" s="10"/>
      <c r="Q17" s="162"/>
      <c r="R17" s="162"/>
      <c r="S17" s="162"/>
    </row>
    <row r="18" spans="2:19" ht="15.75" customHeight="1" x14ac:dyDescent="0.25">
      <c r="B18" s="9" t="s">
        <v>47</v>
      </c>
      <c r="C18" s="99" t="e">
        <f>G8/(F6*C10)</f>
        <v>#DIV/0!</v>
      </c>
      <c r="D18" s="99" t="e">
        <f ca="1">((1+C18)^(30/I5))-1</f>
        <v>#DIV/0!</v>
      </c>
      <c r="G18" s="40"/>
      <c r="I18" s="10"/>
      <c r="J18" s="10"/>
      <c r="N18" s="94" t="s">
        <v>55</v>
      </c>
      <c r="O18" s="93">
        <f>F6</f>
        <v>0</v>
      </c>
      <c r="P18" s="10"/>
      <c r="Q18" s="313" t="s">
        <v>62</v>
      </c>
      <c r="R18" s="313"/>
      <c r="S18" s="313"/>
    </row>
    <row r="19" spans="2:19" ht="13.5" customHeight="1" x14ac:dyDescent="0.25">
      <c r="B19" s="15"/>
      <c r="C19" s="100"/>
      <c r="D19" s="100"/>
      <c r="E19" s="17"/>
      <c r="F19" s="16"/>
      <c r="G19" s="10"/>
      <c r="I19" s="18"/>
      <c r="J19" s="10"/>
      <c r="L19" s="10"/>
      <c r="N19" s="92"/>
      <c r="O19" s="92"/>
      <c r="Q19" s="313"/>
      <c r="R19" s="313"/>
      <c r="S19" s="313"/>
    </row>
    <row r="20" spans="2:19" x14ac:dyDescent="0.25">
      <c r="B20" s="9" t="s">
        <v>46</v>
      </c>
      <c r="C20" s="99" t="e">
        <f>E8/F6</f>
        <v>#DIV/0!</v>
      </c>
      <c r="D20" s="99" t="e">
        <f ca="1">((1+C20)^(30/I5))-1</f>
        <v>#DIV/0!</v>
      </c>
      <c r="E20" s="83"/>
      <c r="G20" s="10"/>
      <c r="H20" s="19"/>
      <c r="I20" s="10"/>
      <c r="N20" s="319" t="s">
        <v>56</v>
      </c>
      <c r="O20" s="320">
        <f>E8</f>
        <v>0</v>
      </c>
      <c r="Q20" s="313"/>
      <c r="R20" s="313"/>
      <c r="S20" s="313"/>
    </row>
    <row r="21" spans="2:19" x14ac:dyDescent="0.25">
      <c r="B21" s="10"/>
      <c r="C21" s="10"/>
      <c r="D21" s="10"/>
      <c r="E21" s="20"/>
      <c r="F21" s="21"/>
      <c r="G21" s="37"/>
      <c r="I21" s="18"/>
      <c r="K21" s="10"/>
      <c r="N21" s="319"/>
      <c r="O21" s="321"/>
      <c r="Q21" s="41"/>
      <c r="R21" s="42"/>
      <c r="S21" s="42"/>
    </row>
    <row r="22" spans="2:19" x14ac:dyDescent="0.25">
      <c r="B22" s="10"/>
      <c r="C22" s="10"/>
      <c r="D22" s="10"/>
      <c r="E22" s="20"/>
      <c r="F22" s="21"/>
      <c r="K22" s="10"/>
      <c r="N22" s="92"/>
      <c r="O22" s="92"/>
      <c r="Q22" s="312" t="s">
        <v>66</v>
      </c>
      <c r="R22" s="312"/>
      <c r="S22" s="312"/>
    </row>
    <row r="23" spans="2:19" x14ac:dyDescent="0.25">
      <c r="B23" s="317" t="str">
        <f>IF((D8&gt;F6),"FINANCIAMENTO","OPERAÇÃO DE TAXA")</f>
        <v>OPERAÇÃO DE TAXA</v>
      </c>
      <c r="C23" s="317"/>
      <c r="D23" s="317"/>
      <c r="E23" s="49"/>
      <c r="F23" s="84"/>
      <c r="K23" s="10"/>
      <c r="N23" s="94" t="s">
        <v>37</v>
      </c>
      <c r="O23" s="93">
        <f>O20</f>
        <v>0</v>
      </c>
      <c r="Q23" s="312"/>
      <c r="R23" s="312"/>
      <c r="S23" s="312"/>
    </row>
    <row r="24" spans="2:19" x14ac:dyDescent="0.25">
      <c r="B24" s="317"/>
      <c r="C24" s="317"/>
      <c r="D24" s="317"/>
      <c r="E24" s="85"/>
      <c r="J24" s="23"/>
      <c r="L24" s="18"/>
      <c r="N24" s="92"/>
      <c r="O24" s="92"/>
      <c r="Q24" s="312"/>
      <c r="R24" s="312"/>
      <c r="S24" s="312"/>
    </row>
    <row r="25" spans="2:19" x14ac:dyDescent="0.25">
      <c r="B25" s="317"/>
      <c r="C25" s="317"/>
      <c r="D25" s="317"/>
      <c r="E25" s="50"/>
      <c r="F25" s="83"/>
      <c r="I25" s="11"/>
      <c r="K25" s="25"/>
      <c r="L25" s="10"/>
      <c r="M25" s="10"/>
      <c r="N25" s="95" t="s">
        <v>57</v>
      </c>
      <c r="O25" s="96" t="e">
        <f>O23/O18</f>
        <v>#DIV/0!</v>
      </c>
      <c r="Q25" s="42"/>
      <c r="R25" s="42"/>
      <c r="S25" s="42"/>
    </row>
    <row r="26" spans="2:19" x14ac:dyDescent="0.25">
      <c r="B26" s="11"/>
      <c r="C26" s="86"/>
      <c r="I26" s="7"/>
      <c r="J26" s="39"/>
      <c r="K26" s="25"/>
      <c r="Q26" s="324" t="s">
        <v>114</v>
      </c>
      <c r="R26" s="324"/>
      <c r="S26" s="324"/>
    </row>
    <row r="27" spans="2:19" ht="15" customHeight="1" x14ac:dyDescent="0.25">
      <c r="B27" s="314" t="s">
        <v>63</v>
      </c>
      <c r="C27" s="314"/>
      <c r="D27" s="314"/>
      <c r="E27" s="314"/>
      <c r="H27" s="10"/>
      <c r="I27" s="7"/>
      <c r="J27" s="39"/>
      <c r="K27" s="11"/>
      <c r="Q27" s="42"/>
      <c r="R27" s="42"/>
      <c r="S27" s="42"/>
    </row>
    <row r="28" spans="2:19" x14ac:dyDescent="0.25">
      <c r="B28" s="314"/>
      <c r="C28" s="314"/>
      <c r="D28" s="314"/>
      <c r="E28" s="314"/>
      <c r="I28" s="20"/>
      <c r="J28" s="25"/>
      <c r="K28" s="25"/>
    </row>
    <row r="29" spans="2:19" x14ac:dyDescent="0.25">
      <c r="D29" s="38"/>
      <c r="F29" s="10"/>
    </row>
    <row r="31" spans="2:19" ht="27" x14ac:dyDescent="0.4">
      <c r="B31" s="311" t="s">
        <v>142</v>
      </c>
      <c r="C31" s="311"/>
      <c r="D31" s="311"/>
      <c r="E31" s="311"/>
    </row>
    <row r="32" spans="2:19" x14ac:dyDescent="0.25">
      <c r="B32" s="120"/>
      <c r="C32" s="129"/>
      <c r="D32" s="120"/>
      <c r="E32" s="120"/>
    </row>
    <row r="33" spans="2:7" x14ac:dyDescent="0.25">
      <c r="B33" s="175" t="s">
        <v>130</v>
      </c>
      <c r="C33" s="176" t="s">
        <v>131</v>
      </c>
      <c r="D33" s="175" t="s">
        <v>132</v>
      </c>
      <c r="E33" s="175" t="s">
        <v>133</v>
      </c>
    </row>
    <row r="34" spans="2:7" x14ac:dyDescent="0.25">
      <c r="B34" s="120"/>
      <c r="C34" s="129"/>
      <c r="D34" s="120"/>
      <c r="E34" s="120"/>
    </row>
    <row r="35" spans="2:7" x14ac:dyDescent="0.25">
      <c r="B35" s="238"/>
      <c r="C35" s="239"/>
      <c r="D35" s="240"/>
      <c r="E35" s="241"/>
    </row>
    <row r="36" spans="2:7" x14ac:dyDescent="0.25">
      <c r="B36" s="234" t="s">
        <v>149</v>
      </c>
      <c r="C36" s="235">
        <f>F6*C10</f>
        <v>0</v>
      </c>
      <c r="D36" s="236"/>
      <c r="E36" s="237">
        <f>E35-C36+D36</f>
        <v>0</v>
      </c>
    </row>
    <row r="37" spans="2:7" x14ac:dyDescent="0.25">
      <c r="B37" s="177" t="s">
        <v>148</v>
      </c>
      <c r="C37" s="186"/>
      <c r="D37" s="179">
        <f>E8*C10</f>
        <v>0</v>
      </c>
      <c r="E37" s="179">
        <f t="shared" ref="E37:E38" si="0">E36-C37+D37</f>
        <v>0</v>
      </c>
    </row>
    <row r="38" spans="2:7" x14ac:dyDescent="0.25">
      <c r="B38" s="180" t="s">
        <v>134</v>
      </c>
      <c r="C38" s="184"/>
      <c r="D38" s="185">
        <f>D8*C10</f>
        <v>0</v>
      </c>
      <c r="E38" s="179">
        <f t="shared" si="0"/>
        <v>0</v>
      </c>
    </row>
    <row r="39" spans="2:7" x14ac:dyDescent="0.25">
      <c r="B39" s="238"/>
      <c r="C39" s="239"/>
      <c r="D39" s="240"/>
      <c r="E39" s="241"/>
      <c r="F39" s="37"/>
    </row>
    <row r="40" spans="2:7" x14ac:dyDescent="0.25">
      <c r="B40" s="191"/>
      <c r="C40" s="194"/>
      <c r="D40" s="195"/>
      <c r="E40" s="192"/>
      <c r="F40" s="37"/>
    </row>
    <row r="41" spans="2:7" ht="27" x14ac:dyDescent="0.4">
      <c r="B41" s="311" t="s">
        <v>150</v>
      </c>
      <c r="C41" s="311"/>
      <c r="D41" s="311"/>
      <c r="E41" s="311"/>
    </row>
    <row r="42" spans="2:7" x14ac:dyDescent="0.25">
      <c r="B42" s="120"/>
      <c r="C42" s="129"/>
      <c r="D42" s="120"/>
      <c r="E42" s="120"/>
    </row>
    <row r="43" spans="2:7" x14ac:dyDescent="0.25">
      <c r="B43" s="175" t="s">
        <v>130</v>
      </c>
      <c r="C43" s="176" t="s">
        <v>131</v>
      </c>
      <c r="D43" s="175" t="s">
        <v>132</v>
      </c>
      <c r="E43" s="175" t="s">
        <v>133</v>
      </c>
    </row>
    <row r="44" spans="2:7" x14ac:dyDescent="0.25">
      <c r="B44" s="120"/>
      <c r="C44" s="129"/>
      <c r="D44" s="120"/>
      <c r="E44" s="120"/>
    </row>
    <row r="45" spans="2:7" x14ac:dyDescent="0.25">
      <c r="B45" s="238"/>
      <c r="C45" s="239"/>
      <c r="D45" s="240"/>
      <c r="E45" s="241"/>
    </row>
    <row r="46" spans="2:7" x14ac:dyDescent="0.25">
      <c r="B46" s="234" t="s">
        <v>149</v>
      </c>
      <c r="C46" s="235">
        <f>C36</f>
        <v>0</v>
      </c>
      <c r="D46" s="236"/>
      <c r="E46" s="237">
        <f>E45-C46+D46</f>
        <v>0</v>
      </c>
    </row>
    <row r="47" spans="2:7" x14ac:dyDescent="0.25">
      <c r="B47" s="177" t="s">
        <v>148</v>
      </c>
      <c r="C47" s="186"/>
      <c r="D47" s="179">
        <f>D37</f>
        <v>0</v>
      </c>
      <c r="E47" s="179">
        <f t="shared" ref="E47:E48" si="1">E46-C47+D47</f>
        <v>0</v>
      </c>
    </row>
    <row r="48" spans="2:7" x14ac:dyDescent="0.25">
      <c r="B48" s="214" t="s">
        <v>146</v>
      </c>
      <c r="C48" s="242"/>
      <c r="D48" s="215">
        <f>G48*C10</f>
        <v>0</v>
      </c>
      <c r="E48" s="233">
        <f t="shared" si="1"/>
        <v>0</v>
      </c>
      <c r="F48" s="197" t="s">
        <v>151</v>
      </c>
      <c r="G48" s="198"/>
    </row>
    <row r="49" spans="2:5" x14ac:dyDescent="0.25">
      <c r="B49" s="238"/>
      <c r="C49" s="239"/>
      <c r="D49" s="240"/>
      <c r="E49" s="241"/>
    </row>
  </sheetData>
  <sheetProtection sheet="1" objects="1" scenarios="1"/>
  <mergeCells count="16">
    <mergeCell ref="Q2:S2"/>
    <mergeCell ref="Q4:S6"/>
    <mergeCell ref="Q8:S11"/>
    <mergeCell ref="Q26:S26"/>
    <mergeCell ref="Q13:S13"/>
    <mergeCell ref="B2:L2"/>
    <mergeCell ref="B23:D25"/>
    <mergeCell ref="N2:O2"/>
    <mergeCell ref="N20:N21"/>
    <mergeCell ref="O20:O21"/>
    <mergeCell ref="B31:E31"/>
    <mergeCell ref="B41:E41"/>
    <mergeCell ref="Q22:S24"/>
    <mergeCell ref="Q15:S16"/>
    <mergeCell ref="Q18:S20"/>
    <mergeCell ref="B27:E28"/>
  </mergeCells>
  <conditionalFormatting sqref="B23:D25">
    <cfRule type="containsText" dxfId="155" priority="9" operator="containsText" text="OPERAÇÃO DE TAXA">
      <formula>NOT(ISERROR(SEARCH("OPERAÇÃO DE TAXA",B23)))</formula>
    </cfRule>
    <cfRule type="containsText" dxfId="154" priority="11" operator="containsText" text="FINANCIAMENTO">
      <formula>NOT(ISERROR(SEARCH("FINANCIAMENTO",B23)))</formula>
    </cfRule>
  </conditionalFormatting>
  <conditionalFormatting sqref="D9">
    <cfRule type="containsText" dxfId="153" priority="10" operator="containsText" text="OPERAÇÃO DE TAXA">
      <formula>NOT(ISERROR(SEARCH("OPERAÇÃO DE TAXA",D9)))</formula>
    </cfRule>
  </conditionalFormatting>
  <conditionalFormatting sqref="E38">
    <cfRule type="cellIs" dxfId="152" priority="3" operator="lessThan">
      <formula>0</formula>
    </cfRule>
    <cfRule type="cellIs" dxfId="151" priority="4" operator="greaterThan">
      <formula>0</formula>
    </cfRule>
  </conditionalFormatting>
  <conditionalFormatting sqref="E48">
    <cfRule type="cellIs" dxfId="150" priority="1" operator="lessThan">
      <formula>0</formula>
    </cfRule>
    <cfRule type="cellIs" dxfId="149" priority="2" operator="greaterThan">
      <formula>0</formula>
    </cfRule>
  </conditionalFormatting>
  <dataValidations count="1">
    <dataValidation type="decimal" operator="lessThan" allowBlank="1" showInputMessage="1" showErrorMessage="1" sqref="G48" xr:uid="{05169A7B-0D43-490D-B40A-DD51ECCCE3C9}">
      <formula1>D8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6247-403A-49D9-B8AF-7FD36DDAC3FE}">
  <sheetPr>
    <tabColor theme="9" tint="-0.499984740745262"/>
  </sheetPr>
  <dimension ref="A1:R49"/>
  <sheetViews>
    <sheetView showGridLines="0" showRowColHeaders="0" zoomScale="110" zoomScaleNormal="110" workbookViewId="0">
      <selection activeCell="E8" sqref="E8"/>
    </sheetView>
  </sheetViews>
  <sheetFormatPr defaultRowHeight="15" x14ac:dyDescent="0.25"/>
  <cols>
    <col min="1" max="1" width="4.42578125" customWidth="1"/>
    <col min="2" max="2" width="20.42578125" customWidth="1"/>
    <col min="3" max="3" width="15.140625" style="7" customWidth="1"/>
    <col min="4" max="4" width="13.28515625" bestFit="1" customWidth="1"/>
    <col min="5" max="5" width="17.42578125" style="11" customWidth="1"/>
    <col min="6" max="6" width="15.7109375" customWidth="1"/>
    <col min="7" max="7" width="12.140625" bestFit="1" customWidth="1"/>
    <col min="8" max="8" width="9.7109375" bestFit="1" customWidth="1"/>
    <col min="9" max="9" width="11" bestFit="1" customWidth="1"/>
    <col min="10" max="10" width="9.85546875" bestFit="1" customWidth="1"/>
    <col min="11" max="11" width="10.85546875" bestFit="1" customWidth="1"/>
    <col min="12" max="12" width="5" customWidth="1"/>
    <col min="13" max="13" width="2.7109375" customWidth="1"/>
    <col min="14" max="14" width="13.7109375" bestFit="1" customWidth="1"/>
    <col min="16" max="16" width="12.140625" bestFit="1" customWidth="1"/>
    <col min="18" max="18" width="9.85546875" bestFit="1" customWidth="1"/>
  </cols>
  <sheetData>
    <row r="1" spans="1:18" ht="15.75" thickBot="1" x14ac:dyDescent="0.3"/>
    <row r="2" spans="1:18" ht="21.75" thickBot="1" x14ac:dyDescent="0.35">
      <c r="A2" s="8"/>
      <c r="B2" s="315" t="s">
        <v>53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90"/>
      <c r="N2" s="318" t="s">
        <v>58</v>
      </c>
      <c r="O2" s="318"/>
      <c r="P2" s="318"/>
    </row>
    <row r="3" spans="1:18" x14ac:dyDescent="0.25">
      <c r="N3" s="12"/>
    </row>
    <row r="4" spans="1:18" x14ac:dyDescent="0.25">
      <c r="C4" s="9" t="s">
        <v>25</v>
      </c>
      <c r="D4" s="9" t="s">
        <v>0</v>
      </c>
      <c r="E4" s="9" t="s">
        <v>2</v>
      </c>
      <c r="I4" s="91">
        <f ca="1">TODAY()</f>
        <v>45121</v>
      </c>
      <c r="N4" s="327" t="s">
        <v>217</v>
      </c>
      <c r="O4" s="327"/>
      <c r="P4" s="327"/>
    </row>
    <row r="5" spans="1:18" x14ac:dyDescent="0.25">
      <c r="I5" s="46">
        <f ca="1">C14-I4</f>
        <v>-238</v>
      </c>
      <c r="N5" s="327"/>
      <c r="O5" s="327"/>
      <c r="P5" s="327"/>
    </row>
    <row r="6" spans="1:18" x14ac:dyDescent="0.25">
      <c r="B6" s="132" t="s">
        <v>180</v>
      </c>
      <c r="C6" s="245"/>
      <c r="D6" s="118"/>
      <c r="E6" s="301"/>
      <c r="N6" s="327"/>
      <c r="O6" s="327"/>
      <c r="P6" s="327"/>
      <c r="R6" s="8"/>
    </row>
    <row r="7" spans="1:18" ht="15.75" customHeight="1" x14ac:dyDescent="0.25">
      <c r="B7" s="17"/>
      <c r="C7" s="297"/>
      <c r="D7" s="298"/>
      <c r="E7" s="302"/>
      <c r="F7" s="10"/>
      <c r="N7" s="312" t="s">
        <v>218</v>
      </c>
      <c r="O7" s="312"/>
      <c r="P7" s="312"/>
      <c r="R7" s="8"/>
    </row>
    <row r="8" spans="1:18" x14ac:dyDescent="0.25">
      <c r="B8" s="132" t="s">
        <v>28</v>
      </c>
      <c r="C8" s="299"/>
      <c r="D8" s="300"/>
      <c r="E8" s="301"/>
      <c r="N8" s="296"/>
      <c r="O8" s="296"/>
      <c r="P8" s="296"/>
      <c r="R8" s="8"/>
    </row>
    <row r="9" spans="1:18" ht="17.25" customHeight="1" thickBot="1" x14ac:dyDescent="0.3">
      <c r="B9" s="11"/>
      <c r="N9" s="296"/>
      <c r="O9" s="296"/>
      <c r="P9" s="296"/>
    </row>
    <row r="10" spans="1:18" ht="15.75" customHeight="1" thickBot="1" x14ac:dyDescent="0.3">
      <c r="B10" s="132" t="s">
        <v>212</v>
      </c>
      <c r="C10" s="141">
        <v>1000</v>
      </c>
      <c r="D10" s="287"/>
      <c r="E10" s="303"/>
      <c r="F10" s="12"/>
      <c r="G10" s="4">
        <f>F13</f>
        <v>0</v>
      </c>
      <c r="H10" s="10"/>
      <c r="N10" s="296"/>
      <c r="O10" s="296"/>
      <c r="P10" s="296"/>
    </row>
    <row r="11" spans="1:18" x14ac:dyDescent="0.25">
      <c r="B11" s="11"/>
      <c r="C11" s="246"/>
      <c r="D11" s="247"/>
      <c r="E11" s="304"/>
      <c r="F11" s="12"/>
      <c r="H11" s="10"/>
    </row>
    <row r="12" spans="1:18" ht="15" customHeight="1" x14ac:dyDescent="0.25">
      <c r="B12" s="286" t="s">
        <v>211</v>
      </c>
      <c r="C12" s="295">
        <f>C10*D6</f>
        <v>0</v>
      </c>
      <c r="E12" s="20"/>
      <c r="F12" s="288"/>
      <c r="H12" s="10"/>
    </row>
    <row r="13" spans="1:18" ht="16.5" thickBot="1" x14ac:dyDescent="0.3">
      <c r="E13" s="132" t="s">
        <v>213</v>
      </c>
      <c r="F13" s="291">
        <f>E6*C10</f>
        <v>0</v>
      </c>
      <c r="H13" s="10"/>
    </row>
    <row r="14" spans="1:18" ht="15.75" thickBot="1" x14ac:dyDescent="0.3">
      <c r="B14" s="286" t="s">
        <v>10</v>
      </c>
      <c r="C14" s="140">
        <v>44883</v>
      </c>
      <c r="E14" s="20"/>
      <c r="F14" s="21"/>
      <c r="H14" s="10"/>
      <c r="K14" s="6">
        <f>D6</f>
        <v>0</v>
      </c>
      <c r="N14" s="10"/>
      <c r="P14" s="10"/>
    </row>
    <row r="15" spans="1:18" ht="15" customHeight="1" x14ac:dyDescent="0.25">
      <c r="B15" s="11"/>
      <c r="D15" s="12"/>
      <c r="E15" s="305" t="s">
        <v>219</v>
      </c>
      <c r="F15" s="88">
        <f>IF((E8&gt;D6),0,(D6-E8))</f>
        <v>0</v>
      </c>
      <c r="H15" s="10"/>
      <c r="N15" s="294"/>
      <c r="O15" s="294"/>
      <c r="P15" s="294"/>
    </row>
    <row r="16" spans="1:18" ht="15" customHeight="1" x14ac:dyDescent="0.25">
      <c r="B16" s="11"/>
      <c r="D16" s="12"/>
      <c r="E16" s="306"/>
      <c r="F16" s="12"/>
      <c r="H16" s="10"/>
      <c r="N16" s="294"/>
      <c r="O16" s="294"/>
      <c r="P16" s="294"/>
    </row>
    <row r="17" spans="2:16" ht="15" customHeight="1" x14ac:dyDescent="0.25">
      <c r="B17" s="11"/>
      <c r="D17" s="12"/>
      <c r="E17" s="305" t="s">
        <v>220</v>
      </c>
      <c r="F17" s="88">
        <f>E6-F15</f>
        <v>0</v>
      </c>
      <c r="H17" s="10"/>
      <c r="N17" s="294"/>
      <c r="O17" s="294"/>
      <c r="P17" s="294"/>
    </row>
    <row r="18" spans="2:16" ht="15" customHeight="1" x14ac:dyDescent="0.25">
      <c r="B18" s="11"/>
      <c r="D18" s="12"/>
      <c r="E18" s="306"/>
      <c r="F18" s="12"/>
      <c r="H18" s="10"/>
      <c r="N18" s="294"/>
      <c r="O18" s="294"/>
      <c r="P18" s="294"/>
    </row>
    <row r="19" spans="2:16" ht="15" customHeight="1" thickBot="1" x14ac:dyDescent="0.3">
      <c r="B19" s="11"/>
      <c r="D19" s="12"/>
      <c r="E19" s="306"/>
      <c r="F19" s="12"/>
      <c r="H19" s="10"/>
      <c r="N19" s="294"/>
      <c r="O19" s="294"/>
      <c r="P19" s="294"/>
    </row>
    <row r="20" spans="2:16" ht="15" customHeight="1" thickBot="1" x14ac:dyDescent="0.3">
      <c r="B20" s="11"/>
      <c r="C20"/>
      <c r="F20" s="10"/>
      <c r="H20" s="10"/>
      <c r="J20" s="6">
        <f>D6-E6</f>
        <v>0</v>
      </c>
      <c r="O20" s="138"/>
      <c r="P20" s="138"/>
    </row>
    <row r="21" spans="2:16" x14ac:dyDescent="0.25">
      <c r="B21" s="11"/>
      <c r="C21"/>
      <c r="F21" s="310"/>
      <c r="G21" s="37"/>
      <c r="H21" s="10"/>
      <c r="N21" s="292"/>
      <c r="O21" s="292"/>
      <c r="P21" s="292"/>
    </row>
    <row r="22" spans="2:16" x14ac:dyDescent="0.25">
      <c r="C22" s="9" t="s">
        <v>48</v>
      </c>
      <c r="D22" s="89" t="s">
        <v>8</v>
      </c>
      <c r="K22" s="14"/>
      <c r="N22" s="292"/>
      <c r="O22" s="292"/>
      <c r="P22" s="292"/>
    </row>
    <row r="23" spans="2:16" x14ac:dyDescent="0.25">
      <c r="C23" s="12"/>
      <c r="D23" s="12"/>
      <c r="G23" s="10"/>
      <c r="H23" s="10"/>
      <c r="I23" s="10"/>
      <c r="J23" s="10"/>
      <c r="N23" s="138"/>
      <c r="O23" s="138"/>
      <c r="P23" s="138"/>
    </row>
    <row r="24" spans="2:16" ht="15.75" customHeight="1" x14ac:dyDescent="0.25">
      <c r="B24" s="9" t="s">
        <v>47</v>
      </c>
      <c r="C24" s="99" t="e">
        <f>F17/D6</f>
        <v>#DIV/0!</v>
      </c>
      <c r="D24" s="99" t="e">
        <f ca="1">((1+C24)^(30/I5))-1</f>
        <v>#DIV/0!</v>
      </c>
      <c r="G24" s="40"/>
      <c r="I24" s="10"/>
      <c r="J24" s="10"/>
      <c r="N24" s="292"/>
      <c r="O24" s="292"/>
      <c r="P24" s="292"/>
    </row>
    <row r="25" spans="2:16" ht="13.5" customHeight="1" x14ac:dyDescent="0.25">
      <c r="B25" s="15"/>
      <c r="C25" s="100"/>
      <c r="D25" s="100"/>
      <c r="E25" s="17"/>
      <c r="F25" s="16"/>
      <c r="G25" s="10"/>
      <c r="I25" s="18"/>
      <c r="J25" s="10"/>
      <c r="L25" s="10"/>
      <c r="N25" s="292"/>
      <c r="O25" s="292"/>
      <c r="P25" s="292"/>
    </row>
    <row r="26" spans="2:16" ht="15" customHeight="1" x14ac:dyDescent="0.25">
      <c r="B26" s="11"/>
      <c r="C26" s="289"/>
      <c r="D26" s="289"/>
      <c r="E26" s="25"/>
      <c r="G26" s="10"/>
      <c r="H26" s="19"/>
      <c r="I26" s="10"/>
      <c r="N26" s="292"/>
      <c r="O26" s="292"/>
      <c r="P26" s="292"/>
    </row>
    <row r="27" spans="2:16" x14ac:dyDescent="0.25">
      <c r="B27" s="314" t="s">
        <v>63</v>
      </c>
      <c r="C27" s="314"/>
      <c r="D27" s="314"/>
      <c r="E27" s="314"/>
      <c r="F27" s="21"/>
      <c r="G27" s="37"/>
      <c r="I27" s="18"/>
      <c r="K27" s="10"/>
      <c r="N27" s="10"/>
    </row>
    <row r="28" spans="2:16" x14ac:dyDescent="0.25">
      <c r="B28" s="314"/>
      <c r="C28" s="314"/>
      <c r="D28" s="314"/>
      <c r="E28" s="314"/>
      <c r="F28" s="21"/>
      <c r="K28" s="10"/>
      <c r="N28" s="293"/>
      <c r="O28" s="293"/>
      <c r="P28" s="293"/>
    </row>
    <row r="29" spans="2:16" ht="15" customHeight="1" x14ac:dyDescent="0.25">
      <c r="B29" s="290"/>
      <c r="C29" s="290"/>
      <c r="D29" s="290"/>
      <c r="E29" s="49"/>
      <c r="F29" s="84"/>
      <c r="K29" s="10"/>
      <c r="N29" s="293"/>
      <c r="O29" s="293"/>
      <c r="P29" s="293"/>
    </row>
    <row r="30" spans="2:16" ht="15" customHeight="1" x14ac:dyDescent="0.25">
      <c r="B30" s="290"/>
      <c r="C30" s="290"/>
      <c r="D30" s="290"/>
      <c r="E30" s="50"/>
      <c r="J30" s="23"/>
      <c r="L30" s="18"/>
      <c r="N30" s="293"/>
      <c r="O30" s="293"/>
      <c r="P30" s="293"/>
    </row>
    <row r="31" spans="2:16" ht="15" customHeight="1" x14ac:dyDescent="0.25">
      <c r="B31" s="326" t="s">
        <v>214</v>
      </c>
      <c r="C31" s="326"/>
      <c r="D31" s="326"/>
      <c r="E31" s="326"/>
      <c r="F31" s="83"/>
      <c r="I31" s="11"/>
      <c r="K31" s="25"/>
      <c r="L31" s="10"/>
      <c r="M31" s="10"/>
    </row>
    <row r="32" spans="2:16" x14ac:dyDescent="0.25">
      <c r="B32" s="326"/>
      <c r="C32" s="326"/>
      <c r="D32" s="326"/>
      <c r="E32" s="326"/>
      <c r="I32" s="7"/>
      <c r="J32" s="39"/>
      <c r="K32" s="25"/>
    </row>
    <row r="33" spans="2:11" ht="15" customHeight="1" x14ac:dyDescent="0.25">
      <c r="H33" s="10"/>
      <c r="I33" s="7"/>
      <c r="J33" s="39"/>
      <c r="K33" s="11"/>
    </row>
    <row r="34" spans="2:11" x14ac:dyDescent="0.25">
      <c r="B34" s="175" t="s">
        <v>130</v>
      </c>
      <c r="C34" s="176" t="s">
        <v>131</v>
      </c>
      <c r="D34" s="175" t="s">
        <v>132</v>
      </c>
      <c r="E34" s="175" t="s">
        <v>133</v>
      </c>
      <c r="I34" s="20"/>
      <c r="J34" s="25"/>
      <c r="K34" s="25"/>
    </row>
    <row r="35" spans="2:11" x14ac:dyDescent="0.25">
      <c r="B35" s="120"/>
      <c r="C35" s="129"/>
      <c r="D35" s="120"/>
      <c r="E35" s="169"/>
      <c r="F35" s="10"/>
    </row>
    <row r="36" spans="2:11" x14ac:dyDescent="0.25">
      <c r="B36" s="238"/>
      <c r="C36" s="239"/>
      <c r="D36" s="240"/>
      <c r="E36" s="307"/>
    </row>
    <row r="37" spans="2:11" x14ac:dyDescent="0.25">
      <c r="B37" s="234" t="s">
        <v>215</v>
      </c>
      <c r="C37" s="235"/>
      <c r="D37" s="236">
        <f>C10*E6</f>
        <v>0</v>
      </c>
      <c r="E37" s="308">
        <f>E36-C37+D37</f>
        <v>0</v>
      </c>
    </row>
    <row r="38" spans="2:11" x14ac:dyDescent="0.25">
      <c r="B38" s="177" t="s">
        <v>155</v>
      </c>
      <c r="C38" s="186">
        <f>C10*D6</f>
        <v>0</v>
      </c>
      <c r="D38" s="179">
        <f>E10*C12</f>
        <v>0</v>
      </c>
      <c r="E38" s="309">
        <f t="shared" ref="E38" si="0">E37-C38+D38</f>
        <v>0</v>
      </c>
    </row>
    <row r="39" spans="2:11" x14ac:dyDescent="0.25">
      <c r="B39" s="238"/>
      <c r="C39" s="239"/>
      <c r="D39" s="240"/>
      <c r="E39" s="307"/>
    </row>
    <row r="42" spans="2:11" x14ac:dyDescent="0.25">
      <c r="B42" s="326" t="s">
        <v>216</v>
      </c>
      <c r="C42" s="326"/>
      <c r="D42" s="326"/>
      <c r="E42" s="326"/>
    </row>
    <row r="43" spans="2:11" x14ac:dyDescent="0.25">
      <c r="B43" s="326"/>
      <c r="C43" s="326"/>
      <c r="D43" s="326"/>
      <c r="E43" s="326"/>
    </row>
    <row r="45" spans="2:11" x14ac:dyDescent="0.25">
      <c r="B45" s="175" t="s">
        <v>130</v>
      </c>
      <c r="C45" s="176" t="s">
        <v>131</v>
      </c>
      <c r="D45" s="175" t="s">
        <v>132</v>
      </c>
      <c r="E45" s="175" t="s">
        <v>133</v>
      </c>
      <c r="F45" s="37"/>
    </row>
    <row r="46" spans="2:11" x14ac:dyDescent="0.25">
      <c r="B46" s="120"/>
      <c r="C46" s="129"/>
      <c r="D46" s="120"/>
      <c r="E46" s="169"/>
    </row>
    <row r="47" spans="2:11" x14ac:dyDescent="0.25">
      <c r="B47" s="238"/>
      <c r="C47" s="239"/>
      <c r="D47" s="240"/>
      <c r="E47" s="307"/>
    </row>
    <row r="48" spans="2:11" x14ac:dyDescent="0.25">
      <c r="B48" s="234" t="s">
        <v>215</v>
      </c>
      <c r="C48" s="235"/>
      <c r="D48" s="236">
        <f>D37</f>
        <v>0</v>
      </c>
      <c r="E48" s="308">
        <f>E47-C48+D48</f>
        <v>0</v>
      </c>
    </row>
    <row r="49" spans="2:5" x14ac:dyDescent="0.25">
      <c r="B49" s="238"/>
      <c r="C49" s="239"/>
      <c r="D49" s="240"/>
      <c r="E49" s="307"/>
    </row>
  </sheetData>
  <sheetProtection sheet="1" objects="1" scenarios="1"/>
  <mergeCells count="7">
    <mergeCell ref="B42:E43"/>
    <mergeCell ref="B27:E28"/>
    <mergeCell ref="B31:E32"/>
    <mergeCell ref="B2:L2"/>
    <mergeCell ref="N2:P2"/>
    <mergeCell ref="N4:P6"/>
    <mergeCell ref="N7:P7"/>
  </mergeCells>
  <conditionalFormatting sqref="B42">
    <cfRule type="containsText" dxfId="148" priority="1" operator="containsText" text="OPERAÇÃO DE TAXA">
      <formula>NOT(ISERROR(SEARCH("OPERAÇÃO DE TAXA",B42)))</formula>
    </cfRule>
    <cfRule type="containsText" dxfId="147" priority="2" operator="containsText" text="FINANCIAMENTO">
      <formula>NOT(ISERROR(SEARCH("FINANCIAMENTO",B42)))</formula>
    </cfRule>
  </conditionalFormatting>
  <conditionalFormatting sqref="B29:D30 B31">
    <cfRule type="containsText" dxfId="146" priority="7" operator="containsText" text="OPERAÇÃO DE TAXA">
      <formula>NOT(ISERROR(SEARCH("OPERAÇÃO DE TAXA",B29)))</formula>
    </cfRule>
    <cfRule type="containsText" dxfId="145" priority="9" operator="containsText" text="FINANCIAMENTO">
      <formula>NOT(ISERROR(SEARCH("FINANCIAMENTO",B29)))</formula>
    </cfRule>
  </conditionalFormatting>
  <conditionalFormatting sqref="D11">
    <cfRule type="containsText" dxfId="144" priority="8" operator="containsText" text="OPERAÇÃO DE TAXA">
      <formula>NOT(ISERROR(SEARCH("OPERAÇÃO DE TAXA",D11)))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1FB8B-07C3-43F3-8290-AD94FDA7333E}">
  <sheetPr>
    <tabColor theme="1" tint="4.9989318521683403E-2"/>
  </sheetPr>
  <dimension ref="A2:W59"/>
  <sheetViews>
    <sheetView showGridLines="0" showRowColHeaders="0" zoomScale="110" zoomScaleNormal="110" workbookViewId="0">
      <selection activeCell="G28" sqref="G28"/>
    </sheetView>
  </sheetViews>
  <sheetFormatPr defaultRowHeight="15" x14ac:dyDescent="0.25"/>
  <cols>
    <col min="1" max="1" width="2.140625" customWidth="1"/>
    <col min="2" max="2" width="22.85546875" customWidth="1"/>
    <col min="3" max="3" width="17.140625" style="7" customWidth="1"/>
    <col min="4" max="4" width="14.42578125" bestFit="1" customWidth="1"/>
    <col min="5" max="6" width="15.42578125" customWidth="1"/>
    <col min="7" max="7" width="4.140625" customWidth="1"/>
    <col min="8" max="8" width="15.28515625" customWidth="1"/>
    <col min="9" max="9" width="15.7109375" customWidth="1"/>
    <col min="10" max="10" width="10.5703125" bestFit="1" customWidth="1"/>
    <col min="11" max="12" width="10" bestFit="1" customWidth="1"/>
    <col min="13" max="13" width="9.5703125" bestFit="1" customWidth="1"/>
    <col min="14" max="14" width="3.28515625" customWidth="1"/>
    <col min="15" max="15" width="25.42578125" customWidth="1"/>
    <col min="16" max="16" width="10.140625" bestFit="1" customWidth="1"/>
    <col min="17" max="17" width="2.140625" customWidth="1"/>
    <col min="18" max="18" width="21.28515625" customWidth="1"/>
    <col min="19" max="19" width="15" bestFit="1" customWidth="1"/>
    <col min="20" max="20" width="1.5703125" customWidth="1"/>
    <col min="21" max="23" width="16.7109375" customWidth="1"/>
  </cols>
  <sheetData>
    <row r="2" spans="1:23" ht="22.5" x14ac:dyDescent="0.3">
      <c r="A2" s="8"/>
      <c r="B2" s="332" t="s">
        <v>53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O2" s="336" t="s">
        <v>27</v>
      </c>
      <c r="P2" s="336"/>
      <c r="Q2" s="336"/>
      <c r="R2" s="336"/>
      <c r="S2" s="336"/>
      <c r="U2" s="334" t="s">
        <v>58</v>
      </c>
      <c r="V2" s="334"/>
      <c r="W2" s="334"/>
    </row>
    <row r="4" spans="1:23" x14ac:dyDescent="0.25">
      <c r="C4" s="9" t="s">
        <v>25</v>
      </c>
      <c r="D4" s="9" t="s">
        <v>1</v>
      </c>
      <c r="E4" s="9" t="s">
        <v>0</v>
      </c>
      <c r="F4" s="9" t="s">
        <v>2</v>
      </c>
      <c r="O4" s="52" t="s">
        <v>34</v>
      </c>
      <c r="P4" s="53">
        <f>L12</f>
        <v>0</v>
      </c>
      <c r="R4" s="339" t="s">
        <v>39</v>
      </c>
      <c r="S4" s="56">
        <f>L12</f>
        <v>0</v>
      </c>
      <c r="U4" s="312" t="s">
        <v>67</v>
      </c>
      <c r="V4" s="312"/>
      <c r="W4" s="312"/>
    </row>
    <row r="5" spans="1:23" x14ac:dyDescent="0.25">
      <c r="O5" s="57"/>
      <c r="P5" s="57"/>
      <c r="R5" s="339"/>
      <c r="S5" s="56">
        <f>J10</f>
        <v>0</v>
      </c>
      <c r="U5" s="312"/>
      <c r="V5" s="312"/>
      <c r="W5" s="312"/>
    </row>
    <row r="6" spans="1:23" x14ac:dyDescent="0.25">
      <c r="B6" s="132" t="s">
        <v>14</v>
      </c>
      <c r="C6" s="79"/>
      <c r="D6" s="76"/>
      <c r="E6" s="30"/>
      <c r="F6" s="30"/>
      <c r="O6" s="58" t="s">
        <v>36</v>
      </c>
      <c r="P6" s="59">
        <f>E8</f>
        <v>0</v>
      </c>
      <c r="R6" s="63"/>
      <c r="S6" s="63"/>
      <c r="U6" s="312"/>
      <c r="V6" s="312"/>
      <c r="W6" s="312"/>
    </row>
    <row r="7" spans="1:23" ht="15.75" thickBot="1" x14ac:dyDescent="0.3">
      <c r="B7" s="11"/>
      <c r="C7" s="80"/>
      <c r="O7" s="58" t="s">
        <v>29</v>
      </c>
      <c r="P7" s="57"/>
      <c r="R7" s="64" t="s">
        <v>101</v>
      </c>
      <c r="S7" s="63"/>
      <c r="U7" s="312"/>
      <c r="V7" s="312"/>
      <c r="W7" s="312"/>
    </row>
    <row r="8" spans="1:23" ht="15.75" thickBot="1" x14ac:dyDescent="0.3">
      <c r="B8" s="132" t="s">
        <v>12</v>
      </c>
      <c r="C8" s="79"/>
      <c r="D8" s="30"/>
      <c r="E8" s="76"/>
      <c r="F8" s="76"/>
      <c r="H8" s="35">
        <f>(E8-F20)*C18</f>
        <v>0</v>
      </c>
      <c r="O8" s="57"/>
      <c r="P8" s="57"/>
      <c r="R8" s="64" t="s">
        <v>98</v>
      </c>
      <c r="S8" s="63"/>
      <c r="U8" s="42"/>
      <c r="V8" s="42"/>
      <c r="W8" s="42"/>
    </row>
    <row r="9" spans="1:23" ht="15.75" thickBot="1" x14ac:dyDescent="0.3">
      <c r="B9" s="11"/>
      <c r="C9" s="80"/>
      <c r="O9" s="57" t="s">
        <v>30</v>
      </c>
      <c r="P9" s="59">
        <f>F20</f>
        <v>0</v>
      </c>
      <c r="R9" s="63"/>
      <c r="S9" s="63"/>
      <c r="U9" s="324" t="s">
        <v>68</v>
      </c>
      <c r="V9" s="324"/>
      <c r="W9" s="324"/>
    </row>
    <row r="10" spans="1:23" ht="15.75" thickBot="1" x14ac:dyDescent="0.3">
      <c r="B10" s="132" t="s">
        <v>13</v>
      </c>
      <c r="C10" s="79"/>
      <c r="D10" s="30"/>
      <c r="E10" s="76"/>
      <c r="F10" s="76"/>
      <c r="J10" s="31">
        <f>E10</f>
        <v>0</v>
      </c>
      <c r="O10" s="58" t="s">
        <v>31</v>
      </c>
      <c r="P10" s="59">
        <f>P6-P9</f>
        <v>0</v>
      </c>
      <c r="R10" s="337" t="s">
        <v>43</v>
      </c>
      <c r="S10" s="65">
        <f>H8</f>
        <v>0</v>
      </c>
      <c r="U10" s="42"/>
      <c r="V10" s="42"/>
      <c r="W10" s="42"/>
    </row>
    <row r="11" spans="1:23" ht="15.75" thickBot="1" x14ac:dyDescent="0.3">
      <c r="C11" s="246"/>
      <c r="D11" s="248"/>
      <c r="E11" s="248"/>
      <c r="F11" s="248"/>
      <c r="O11" s="58" t="s">
        <v>32</v>
      </c>
      <c r="P11" s="60" t="e">
        <f>P10/P9</f>
        <v>#DIV/0!</v>
      </c>
      <c r="R11" s="337"/>
      <c r="S11" s="65">
        <f>H13</f>
        <v>0</v>
      </c>
      <c r="U11" s="323" t="s">
        <v>81</v>
      </c>
      <c r="V11" s="323"/>
      <c r="W11" s="323"/>
    </row>
    <row r="12" spans="1:23" ht="15.75" thickBot="1" x14ac:dyDescent="0.3">
      <c r="B12" s="331" t="s">
        <v>40</v>
      </c>
      <c r="C12" s="331"/>
      <c r="D12" s="331"/>
      <c r="E12" s="331"/>
      <c r="F12" s="331"/>
      <c r="L12" s="31">
        <f>E8</f>
        <v>0</v>
      </c>
      <c r="O12" s="58" t="s">
        <v>33</v>
      </c>
      <c r="P12" s="61" t="str">
        <f ca="1">K19</f>
        <v/>
      </c>
      <c r="R12" s="63"/>
      <c r="S12" s="63"/>
      <c r="U12" s="323"/>
      <c r="V12" s="323"/>
      <c r="W12" s="323"/>
    </row>
    <row r="13" spans="1:23" ht="15.75" thickBot="1" x14ac:dyDescent="0.3">
      <c r="H13" s="36">
        <f>(E10-F20)*C18</f>
        <v>0</v>
      </c>
      <c r="R13" s="338" t="s">
        <v>44</v>
      </c>
      <c r="S13" s="338"/>
    </row>
    <row r="14" spans="1:23" ht="15.75" thickBot="1" x14ac:dyDescent="0.3">
      <c r="B14" s="331" t="s">
        <v>22</v>
      </c>
      <c r="C14" s="331"/>
      <c r="D14" s="32">
        <f>D6-(D6*5%)</f>
        <v>0</v>
      </c>
      <c r="E14" s="1" t="s">
        <v>6</v>
      </c>
      <c r="F14" s="32">
        <f>D6-(D6*10%)</f>
        <v>0</v>
      </c>
      <c r="K14" s="31">
        <f>F20</f>
        <v>0</v>
      </c>
      <c r="O14" s="54" t="s">
        <v>35</v>
      </c>
      <c r="P14" s="55">
        <f>J10</f>
        <v>0</v>
      </c>
      <c r="R14" s="338"/>
      <c r="S14" s="338"/>
    </row>
    <row r="15" spans="1:23" x14ac:dyDescent="0.25">
      <c r="K15" s="10"/>
      <c r="O15" s="30"/>
      <c r="P15" s="30"/>
      <c r="R15" s="338"/>
      <c r="S15" s="338"/>
    </row>
    <row r="16" spans="1:23" x14ac:dyDescent="0.25">
      <c r="B16" s="331" t="s">
        <v>23</v>
      </c>
      <c r="C16" s="331"/>
      <c r="D16" s="32">
        <f>D6-(D6*2%)</f>
        <v>0</v>
      </c>
      <c r="E16" s="1" t="s">
        <v>6</v>
      </c>
      <c r="F16" s="32">
        <f>D6-(D6*5%)</f>
        <v>0</v>
      </c>
      <c r="H16" s="70"/>
      <c r="I16" s="70"/>
      <c r="J16" s="70"/>
      <c r="K16" s="71"/>
      <c r="L16" s="70"/>
      <c r="O16" s="9" t="s">
        <v>116</v>
      </c>
      <c r="P16" s="30"/>
      <c r="R16" s="338"/>
      <c r="S16" s="338"/>
    </row>
    <row r="17" spans="2:19" x14ac:dyDescent="0.25">
      <c r="C17" s="15"/>
      <c r="E17" s="20"/>
      <c r="F17" s="21"/>
      <c r="H17" s="70"/>
      <c r="I17" s="70"/>
      <c r="J17" s="70"/>
      <c r="K17" s="70"/>
      <c r="L17" s="70"/>
      <c r="O17" s="9" t="s">
        <v>117</v>
      </c>
      <c r="P17" s="62">
        <f>J10</f>
        <v>0</v>
      </c>
      <c r="R17" s="338"/>
      <c r="S17" s="338"/>
    </row>
    <row r="18" spans="2:19" ht="17.25" customHeight="1" x14ac:dyDescent="0.25">
      <c r="B18" s="69" t="s">
        <v>9</v>
      </c>
      <c r="C18" s="77"/>
      <c r="E18" s="20" t="s">
        <v>11</v>
      </c>
      <c r="F18" s="73">
        <f>C18*D6</f>
        <v>0</v>
      </c>
      <c r="H18" s="70"/>
      <c r="I18" s="45"/>
      <c r="J18" s="66" t="s">
        <v>7</v>
      </c>
      <c r="K18" s="66" t="s">
        <v>8</v>
      </c>
      <c r="L18" s="70"/>
      <c r="O18" s="335" t="s">
        <v>38</v>
      </c>
      <c r="P18" s="335"/>
      <c r="R18" s="82"/>
      <c r="S18" s="82"/>
    </row>
    <row r="19" spans="2:19" ht="15" customHeight="1" x14ac:dyDescent="0.25">
      <c r="H19" s="70"/>
      <c r="I19" s="67" t="s">
        <v>4</v>
      </c>
      <c r="J19" s="68" t="str">
        <f>IFERROR(((E8-F20)/F20),"")</f>
        <v/>
      </c>
      <c r="K19" s="68" t="str">
        <f ca="1">IFERROR(((1+J19)^(30/J28))-1,"")</f>
        <v/>
      </c>
      <c r="L19" s="70"/>
      <c r="M19" s="10"/>
      <c r="O19" s="335"/>
      <c r="P19" s="335"/>
      <c r="R19" s="82"/>
      <c r="S19" s="82"/>
    </row>
    <row r="20" spans="2:19" x14ac:dyDescent="0.25">
      <c r="B20" s="69" t="s">
        <v>10</v>
      </c>
      <c r="C20" s="78"/>
      <c r="E20" s="72" t="s">
        <v>178</v>
      </c>
      <c r="F20" s="33">
        <f>D6-F8+F10</f>
        <v>0</v>
      </c>
      <c r="H20" s="10"/>
      <c r="I20" s="46"/>
      <c r="J20" s="66"/>
      <c r="K20" s="66"/>
      <c r="M20" s="10"/>
      <c r="O20" s="335"/>
      <c r="P20" s="335"/>
      <c r="R20" s="82"/>
      <c r="S20" s="82"/>
    </row>
    <row r="21" spans="2:19" ht="15" customHeight="1" x14ac:dyDescent="0.25">
      <c r="C21" s="15"/>
      <c r="I21" s="67" t="s">
        <v>5</v>
      </c>
      <c r="J21" s="68" t="str">
        <f>IFERROR((F8-F10)/D6,"")</f>
        <v/>
      </c>
      <c r="K21" s="68" t="str">
        <f ca="1">IFERROR(((1+J21)^(30/J28))-1,"")</f>
        <v/>
      </c>
      <c r="M21" s="10"/>
      <c r="O21" s="335"/>
      <c r="P21" s="335"/>
      <c r="R21" s="82"/>
      <c r="S21" s="82"/>
    </row>
    <row r="22" spans="2:19" ht="15" customHeight="1" x14ac:dyDescent="0.25">
      <c r="E22" s="10"/>
      <c r="I22" s="45">
        <v>31.35</v>
      </c>
      <c r="J22" s="45"/>
      <c r="K22" s="45"/>
      <c r="O22" s="335"/>
      <c r="P22" s="335"/>
      <c r="R22" s="82"/>
      <c r="S22" s="82"/>
    </row>
    <row r="23" spans="2:19" x14ac:dyDescent="0.25">
      <c r="C23" s="15"/>
      <c r="F23" s="37"/>
      <c r="H23" s="10"/>
      <c r="I23" s="43" t="s">
        <v>26</v>
      </c>
      <c r="J23" s="47">
        <f>C18*(F8-F10)</f>
        <v>0</v>
      </c>
      <c r="K23" s="45"/>
      <c r="O23" s="335"/>
      <c r="P23" s="335"/>
      <c r="R23" s="82"/>
      <c r="S23" s="82"/>
    </row>
    <row r="24" spans="2:19" ht="15" customHeight="1" x14ac:dyDescent="0.25">
      <c r="B24" s="333" t="s">
        <v>100</v>
      </c>
      <c r="C24" s="333"/>
      <c r="D24" s="333"/>
      <c r="E24" s="333"/>
      <c r="F24" s="10"/>
      <c r="I24" s="44"/>
      <c r="J24" s="45"/>
      <c r="K24" s="45"/>
    </row>
    <row r="25" spans="2:19" x14ac:dyDescent="0.25">
      <c r="B25" s="333"/>
      <c r="C25" s="333"/>
      <c r="D25" s="333"/>
      <c r="E25" s="333"/>
      <c r="F25" s="8"/>
      <c r="I25" s="46" t="s">
        <v>24</v>
      </c>
      <c r="J25" s="48" t="e">
        <f>J23/F18</f>
        <v>#DIV/0!</v>
      </c>
      <c r="K25" s="45"/>
    </row>
    <row r="26" spans="2:19" x14ac:dyDescent="0.25">
      <c r="B26" s="70"/>
      <c r="C26" s="81"/>
      <c r="D26" s="10"/>
      <c r="I26" s="46"/>
      <c r="J26" s="45"/>
      <c r="K26" s="45"/>
    </row>
    <row r="27" spans="2:19" x14ac:dyDescent="0.25">
      <c r="B27" s="70"/>
      <c r="F27" s="8"/>
      <c r="G27" s="10"/>
      <c r="I27" s="45" t="s">
        <v>42</v>
      </c>
      <c r="J27" s="74">
        <f ca="1">TODAY()</f>
        <v>45121</v>
      </c>
      <c r="K27" s="45"/>
    </row>
    <row r="28" spans="2:19" ht="27" x14ac:dyDescent="0.4">
      <c r="B28" s="311" t="s">
        <v>142</v>
      </c>
      <c r="C28" s="311"/>
      <c r="D28" s="311"/>
      <c r="E28" s="311"/>
      <c r="F28" s="10"/>
      <c r="I28" s="45"/>
      <c r="J28" s="45">
        <f ca="1">C20-J27</f>
        <v>-45121</v>
      </c>
      <c r="K28" s="45"/>
    </row>
    <row r="29" spans="2:19" x14ac:dyDescent="0.25">
      <c r="B29" s="120"/>
      <c r="C29" s="129"/>
      <c r="D29" s="120"/>
      <c r="E29" s="120"/>
      <c r="F29" s="10"/>
      <c r="H29" s="70"/>
      <c r="I29" s="45"/>
      <c r="J29" s="45"/>
      <c r="K29" s="45"/>
    </row>
    <row r="30" spans="2:19" x14ac:dyDescent="0.25">
      <c r="B30" s="175" t="s">
        <v>130</v>
      </c>
      <c r="C30" s="176" t="s">
        <v>131</v>
      </c>
      <c r="D30" s="175" t="s">
        <v>132</v>
      </c>
      <c r="E30" s="175" t="s">
        <v>133</v>
      </c>
      <c r="H30" s="70"/>
    </row>
    <row r="31" spans="2:19" x14ac:dyDescent="0.25">
      <c r="B31" s="120"/>
      <c r="C31" s="129"/>
      <c r="D31" s="120"/>
      <c r="E31" s="120"/>
      <c r="F31" s="8"/>
      <c r="H31" s="70"/>
    </row>
    <row r="32" spans="2:19" x14ac:dyDescent="0.25">
      <c r="B32" s="238"/>
      <c r="C32" s="239"/>
      <c r="D32" s="240"/>
      <c r="E32" s="241"/>
      <c r="F32" s="8"/>
      <c r="H32" s="70"/>
    </row>
    <row r="33" spans="2:8" x14ac:dyDescent="0.25">
      <c r="B33" s="234" t="s">
        <v>149</v>
      </c>
      <c r="C33" s="235">
        <f>D6*C18</f>
        <v>0</v>
      </c>
      <c r="D33" s="236"/>
      <c r="E33" s="237">
        <f>E32-C33+D33</f>
        <v>0</v>
      </c>
      <c r="H33" s="70"/>
    </row>
    <row r="34" spans="2:8" x14ac:dyDescent="0.25">
      <c r="B34" s="177" t="s">
        <v>148</v>
      </c>
      <c r="C34" s="186"/>
      <c r="D34" s="179">
        <f>F8*C18</f>
        <v>0</v>
      </c>
      <c r="E34" s="179">
        <f t="shared" ref="E34:E36" si="0">E33-C34+D34</f>
        <v>0</v>
      </c>
      <c r="F34" s="10"/>
    </row>
    <row r="35" spans="2:8" x14ac:dyDescent="0.25">
      <c r="B35" s="180" t="s">
        <v>152</v>
      </c>
      <c r="C35" s="184">
        <f>F10*C18</f>
        <v>0</v>
      </c>
      <c r="D35" s="185"/>
      <c r="E35" s="183">
        <f t="shared" si="0"/>
        <v>0</v>
      </c>
      <c r="F35" s="10"/>
    </row>
    <row r="36" spans="2:8" x14ac:dyDescent="0.25">
      <c r="B36" s="177" t="s">
        <v>153</v>
      </c>
      <c r="C36" s="188"/>
      <c r="D36" s="179">
        <f>E8*C18</f>
        <v>0</v>
      </c>
      <c r="E36" s="179">
        <f t="shared" si="0"/>
        <v>0</v>
      </c>
    </row>
    <row r="37" spans="2:8" x14ac:dyDescent="0.25">
      <c r="B37" s="238"/>
      <c r="C37" s="239"/>
      <c r="D37" s="240"/>
      <c r="E37" s="241"/>
      <c r="F37" s="37"/>
    </row>
    <row r="38" spans="2:8" x14ac:dyDescent="0.25">
      <c r="B38" s="191"/>
      <c r="C38" s="196"/>
      <c r="D38" s="192"/>
      <c r="E38" s="192"/>
    </row>
    <row r="39" spans="2:8" ht="27" x14ac:dyDescent="0.4">
      <c r="B39" s="311" t="s">
        <v>154</v>
      </c>
      <c r="C39" s="311"/>
      <c r="D39" s="311"/>
      <c r="E39" s="311"/>
    </row>
    <row r="40" spans="2:8" x14ac:dyDescent="0.25">
      <c r="B40" s="120"/>
      <c r="C40" s="129"/>
      <c r="D40" s="120"/>
      <c r="E40" s="120"/>
    </row>
    <row r="41" spans="2:8" x14ac:dyDescent="0.25">
      <c r="B41" s="175" t="s">
        <v>130</v>
      </c>
      <c r="C41" s="176" t="s">
        <v>131</v>
      </c>
      <c r="D41" s="175" t="s">
        <v>132</v>
      </c>
      <c r="E41" s="175" t="s">
        <v>133</v>
      </c>
    </row>
    <row r="42" spans="2:8" x14ac:dyDescent="0.25">
      <c r="B42" s="120"/>
      <c r="C42" s="129"/>
      <c r="D42" s="120"/>
      <c r="E42" s="120"/>
    </row>
    <row r="43" spans="2:8" x14ac:dyDescent="0.25">
      <c r="B43" s="238"/>
      <c r="C43" s="239"/>
      <c r="D43" s="240"/>
      <c r="E43" s="241"/>
    </row>
    <row r="44" spans="2:8" x14ac:dyDescent="0.25">
      <c r="B44" s="180" t="s">
        <v>149</v>
      </c>
      <c r="C44" s="181">
        <f>C33</f>
        <v>0</v>
      </c>
      <c r="D44" s="185"/>
      <c r="E44" s="183">
        <f>E43-C44+D44</f>
        <v>0</v>
      </c>
    </row>
    <row r="45" spans="2:8" x14ac:dyDescent="0.25">
      <c r="B45" s="177" t="s">
        <v>148</v>
      </c>
      <c r="C45" s="186"/>
      <c r="D45" s="179">
        <f>F8*C18</f>
        <v>0</v>
      </c>
      <c r="E45" s="179">
        <f t="shared" ref="E45:E47" si="1">E44-C45+D45</f>
        <v>0</v>
      </c>
    </row>
    <row r="46" spans="2:8" x14ac:dyDescent="0.25">
      <c r="B46" s="180" t="s">
        <v>152</v>
      </c>
      <c r="C46" s="184">
        <f>F10*C18</f>
        <v>0</v>
      </c>
      <c r="D46" s="185"/>
      <c r="E46" s="183">
        <f t="shared" si="1"/>
        <v>0</v>
      </c>
    </row>
    <row r="47" spans="2:8" x14ac:dyDescent="0.25">
      <c r="B47" s="177" t="s">
        <v>155</v>
      </c>
      <c r="C47" s="188"/>
      <c r="D47" s="179">
        <f>E10*C18</f>
        <v>0</v>
      </c>
      <c r="E47" s="179">
        <f t="shared" si="1"/>
        <v>0</v>
      </c>
    </row>
    <row r="48" spans="2:8" x14ac:dyDescent="0.25">
      <c r="B48" s="238"/>
      <c r="C48" s="239"/>
      <c r="D48" s="240"/>
      <c r="E48" s="241"/>
    </row>
    <row r="50" spans="2:9" ht="15.75" x14ac:dyDescent="0.25">
      <c r="B50" s="329" t="s">
        <v>156</v>
      </c>
      <c r="C50" s="329"/>
      <c r="D50" s="329"/>
      <c r="E50" s="329"/>
    </row>
    <row r="51" spans="2:9" x14ac:dyDescent="0.25">
      <c r="B51" s="120"/>
      <c r="C51" s="129"/>
      <c r="D51" s="120"/>
      <c r="E51" s="120"/>
    </row>
    <row r="52" spans="2:9" x14ac:dyDescent="0.25">
      <c r="B52" s="175" t="s">
        <v>130</v>
      </c>
      <c r="C52" s="176" t="s">
        <v>131</v>
      </c>
      <c r="D52" s="175" t="s">
        <v>132</v>
      </c>
      <c r="E52" s="175" t="s">
        <v>133</v>
      </c>
    </row>
    <row r="53" spans="2:9" x14ac:dyDescent="0.25">
      <c r="B53" s="120"/>
      <c r="C53" s="129"/>
      <c r="D53" s="120"/>
      <c r="E53" s="120"/>
    </row>
    <row r="54" spans="2:9" x14ac:dyDescent="0.25">
      <c r="B54" s="238"/>
      <c r="C54" s="239"/>
      <c r="D54" s="240"/>
      <c r="E54" s="241"/>
    </row>
    <row r="55" spans="2:9" x14ac:dyDescent="0.25">
      <c r="B55" s="180" t="s">
        <v>149</v>
      </c>
      <c r="C55" s="181">
        <f>C44</f>
        <v>0</v>
      </c>
      <c r="D55" s="185"/>
      <c r="E55" s="183">
        <f>E54-C55+D55</f>
        <v>0</v>
      </c>
    </row>
    <row r="56" spans="2:9" x14ac:dyDescent="0.25">
      <c r="B56" s="177" t="s">
        <v>148</v>
      </c>
      <c r="C56" s="186"/>
      <c r="D56" s="179">
        <f>D45</f>
        <v>0</v>
      </c>
      <c r="E56" s="179">
        <f t="shared" ref="E56:E58" si="2">E55-C56+D56</f>
        <v>0</v>
      </c>
    </row>
    <row r="57" spans="2:9" x14ac:dyDescent="0.25">
      <c r="B57" s="180" t="s">
        <v>152</v>
      </c>
      <c r="C57" s="184">
        <f>C46</f>
        <v>0</v>
      </c>
      <c r="D57" s="185"/>
      <c r="E57" s="183">
        <f t="shared" si="2"/>
        <v>0</v>
      </c>
    </row>
    <row r="58" spans="2:9" x14ac:dyDescent="0.25">
      <c r="B58" s="177" t="s">
        <v>146</v>
      </c>
      <c r="C58" s="188"/>
      <c r="D58" s="179">
        <f>I58*C18</f>
        <v>0</v>
      </c>
      <c r="E58" s="179">
        <f t="shared" si="2"/>
        <v>0</v>
      </c>
      <c r="F58" s="330" t="s">
        <v>151</v>
      </c>
      <c r="G58" s="331"/>
      <c r="H58" s="65">
        <f>J10</f>
        <v>0</v>
      </c>
      <c r="I58" s="328">
        <v>37.92</v>
      </c>
    </row>
    <row r="59" spans="2:9" x14ac:dyDescent="0.25">
      <c r="B59" s="238"/>
      <c r="C59" s="239"/>
      <c r="D59" s="240"/>
      <c r="E59" s="241"/>
      <c r="F59" s="330"/>
      <c r="G59" s="331"/>
      <c r="H59" s="65">
        <f>L12</f>
        <v>0</v>
      </c>
      <c r="I59" s="328"/>
    </row>
  </sheetData>
  <sheetProtection sheet="1" objects="1" scenarios="1"/>
  <mergeCells count="19">
    <mergeCell ref="B2:M2"/>
    <mergeCell ref="B14:C14"/>
    <mergeCell ref="B16:C16"/>
    <mergeCell ref="B24:E25"/>
    <mergeCell ref="U2:W2"/>
    <mergeCell ref="U4:W7"/>
    <mergeCell ref="U9:W9"/>
    <mergeCell ref="U11:W12"/>
    <mergeCell ref="B12:F12"/>
    <mergeCell ref="O18:P23"/>
    <mergeCell ref="O2:S2"/>
    <mergeCell ref="R10:R11"/>
    <mergeCell ref="R13:S17"/>
    <mergeCell ref="R4:R5"/>
    <mergeCell ref="I58:I59"/>
    <mergeCell ref="B28:E28"/>
    <mergeCell ref="B39:E39"/>
    <mergeCell ref="B50:E50"/>
    <mergeCell ref="F58:G59"/>
  </mergeCells>
  <conditionalFormatting sqref="E36">
    <cfRule type="cellIs" dxfId="143" priority="5" operator="greaterThan">
      <formula>0</formula>
    </cfRule>
    <cfRule type="cellIs" dxfId="142" priority="6" operator="lessThan">
      <formula>0</formula>
    </cfRule>
  </conditionalFormatting>
  <conditionalFormatting sqref="E47">
    <cfRule type="cellIs" dxfId="141" priority="3" operator="greaterThan">
      <formula>0</formula>
    </cfRule>
    <cfRule type="cellIs" dxfId="140" priority="4" operator="lessThan">
      <formula>0</formula>
    </cfRule>
  </conditionalFormatting>
  <conditionalFormatting sqref="E58">
    <cfRule type="cellIs" dxfId="139" priority="1" operator="greaterThan">
      <formula>0</formula>
    </cfRule>
    <cfRule type="cellIs" dxfId="138" priority="2" operator="lessThan">
      <formula>0</formula>
    </cfRule>
  </conditionalFormatting>
  <conditionalFormatting sqref="H8">
    <cfRule type="cellIs" dxfId="137" priority="13" operator="lessThan">
      <formula>0</formula>
    </cfRule>
    <cfRule type="cellIs" dxfId="136" priority="20" operator="greaterThan">
      <formula>0</formula>
    </cfRule>
  </conditionalFormatting>
  <conditionalFormatting sqref="H13">
    <cfRule type="cellIs" dxfId="135" priority="18" operator="lessThan">
      <formula>0</formula>
    </cfRule>
    <cfRule type="cellIs" dxfId="134" priority="19" operator="greaterThan">
      <formula>0</formula>
    </cfRule>
  </conditionalFormatting>
  <conditionalFormatting sqref="S10:S11">
    <cfRule type="cellIs" dxfId="133" priority="14" operator="lessThan">
      <formula>0</formula>
    </cfRule>
    <cfRule type="cellIs" dxfId="132" priority="15" operator="greaterThan">
      <formula>0</formula>
    </cfRule>
  </conditionalFormatting>
  <dataValidations count="1">
    <dataValidation type="decimal" allowBlank="1" showInputMessage="1" showErrorMessage="1" sqref="I58:I59" xr:uid="{7BD81B92-7430-42C5-AA29-9EA901E92F14}">
      <formula1>H58</formula1>
      <formula2>H59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064D7-5687-4B3D-BBCB-F9808FA0847E}">
  <sheetPr>
    <tabColor rgb="FF7030A0"/>
  </sheetPr>
  <dimension ref="A1:Z75"/>
  <sheetViews>
    <sheetView showGridLines="0" showRowColHeaders="0" zoomScale="110" zoomScaleNormal="110" workbookViewId="0">
      <selection activeCell="H58" sqref="H58:H59"/>
    </sheetView>
  </sheetViews>
  <sheetFormatPr defaultRowHeight="15" x14ac:dyDescent="0.25"/>
  <cols>
    <col min="1" max="1" width="4.42578125" customWidth="1"/>
    <col min="2" max="2" width="22.5703125" customWidth="1"/>
    <col min="3" max="3" width="17.140625" style="7" customWidth="1"/>
    <col min="4" max="4" width="13.28515625" bestFit="1" customWidth="1"/>
    <col min="5" max="5" width="14.5703125" bestFit="1" customWidth="1"/>
    <col min="6" max="6" width="14.140625" bestFit="1" customWidth="1"/>
    <col min="7" max="7" width="12.140625" customWidth="1"/>
    <col min="8" max="11" width="13.28515625" bestFit="1" customWidth="1"/>
    <col min="12" max="12" width="13.7109375" bestFit="1" customWidth="1"/>
    <col min="13" max="13" width="12.28515625" bestFit="1" customWidth="1"/>
    <col min="14" max="14" width="10" bestFit="1" customWidth="1"/>
    <col min="15" max="15" width="2.7109375" customWidth="1"/>
    <col min="16" max="16" width="12.7109375" style="112" bestFit="1" customWidth="1"/>
    <col min="17" max="17" width="16" style="112" customWidth="1"/>
    <col min="18" max="18" width="13.7109375" style="112" bestFit="1" customWidth="1"/>
    <col min="19" max="19" width="1.5703125" style="112" customWidth="1"/>
    <col min="20" max="22" width="15.140625" style="112" customWidth="1"/>
    <col min="23" max="23" width="1.5703125" customWidth="1"/>
    <col min="24" max="26" width="15.85546875" customWidth="1"/>
  </cols>
  <sheetData>
    <row r="1" spans="1:26" ht="15.75" thickBot="1" x14ac:dyDescent="0.3"/>
    <row r="2" spans="1:26" ht="23.25" thickBot="1" x14ac:dyDescent="0.35">
      <c r="A2" s="8"/>
      <c r="B2" s="351" t="s">
        <v>53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3"/>
      <c r="P2" s="334" t="s">
        <v>27</v>
      </c>
      <c r="Q2" s="334"/>
      <c r="R2" s="334"/>
      <c r="S2" s="334"/>
      <c r="T2" s="334"/>
      <c r="U2" s="334"/>
      <c r="V2" s="334"/>
      <c r="X2" s="332" t="s">
        <v>58</v>
      </c>
      <c r="Y2" s="332"/>
      <c r="Z2" s="332"/>
    </row>
    <row r="4" spans="1:26" ht="15" customHeight="1" x14ac:dyDescent="0.25">
      <c r="C4" s="9" t="s">
        <v>25</v>
      </c>
      <c r="D4" s="9" t="s">
        <v>0</v>
      </c>
      <c r="E4" s="9" t="s">
        <v>2</v>
      </c>
      <c r="F4" s="9" t="s">
        <v>1</v>
      </c>
      <c r="G4" s="11"/>
      <c r="P4" s="348" t="s">
        <v>96</v>
      </c>
      <c r="Q4" s="348"/>
      <c r="R4" s="133">
        <f>M22</f>
        <v>0</v>
      </c>
      <c r="T4" s="356" t="s">
        <v>39</v>
      </c>
      <c r="U4" s="356"/>
      <c r="V4" s="142">
        <f>J21</f>
        <v>0</v>
      </c>
      <c r="X4" s="345" t="s">
        <v>113</v>
      </c>
      <c r="Y4" s="345"/>
      <c r="Z4" s="345"/>
    </row>
    <row r="5" spans="1:26" x14ac:dyDescent="0.25">
      <c r="O5" s="10"/>
      <c r="P5" s="134"/>
      <c r="Q5" s="134"/>
      <c r="R5" s="134"/>
      <c r="T5" s="356"/>
      <c r="U5" s="356"/>
      <c r="V5" s="142">
        <f>M22</f>
        <v>0</v>
      </c>
      <c r="X5" s="42"/>
      <c r="Y5" s="42"/>
      <c r="Z5" s="42"/>
    </row>
    <row r="6" spans="1:26" ht="15" customHeight="1" x14ac:dyDescent="0.25">
      <c r="B6" s="132" t="s">
        <v>19</v>
      </c>
      <c r="C6" s="245"/>
      <c r="D6" s="88"/>
      <c r="E6" s="88"/>
      <c r="F6" s="118"/>
      <c r="G6" s="12"/>
      <c r="P6" s="355" t="s">
        <v>99</v>
      </c>
      <c r="Q6" s="355"/>
      <c r="R6" s="135">
        <f>D8</f>
        <v>0</v>
      </c>
      <c r="T6" s="143"/>
      <c r="U6" s="144"/>
      <c r="V6" s="143"/>
      <c r="X6" s="312" t="s">
        <v>59</v>
      </c>
      <c r="Y6" s="312"/>
      <c r="Z6" s="312"/>
    </row>
    <row r="7" spans="1:26" ht="15.75" thickBot="1" x14ac:dyDescent="0.3">
      <c r="B7" s="11"/>
      <c r="O7" s="8"/>
      <c r="P7" s="136"/>
      <c r="Q7" s="134"/>
      <c r="R7" s="134"/>
      <c r="T7" s="357" t="s">
        <v>106</v>
      </c>
      <c r="U7" s="357"/>
      <c r="V7" s="357"/>
      <c r="X7" s="312"/>
      <c r="Y7" s="312"/>
      <c r="Z7" s="312"/>
    </row>
    <row r="8" spans="1:26" ht="15.75" thickBot="1" x14ac:dyDescent="0.3">
      <c r="B8" s="132" t="s">
        <v>20</v>
      </c>
      <c r="C8" s="245"/>
      <c r="D8" s="118"/>
      <c r="E8" s="118"/>
      <c r="F8" s="12"/>
      <c r="G8" s="12"/>
      <c r="H8" s="4">
        <f>(D8-(F6-E14))*C16</f>
        <v>0</v>
      </c>
      <c r="I8" s="10"/>
      <c r="O8" s="10"/>
      <c r="P8" s="354" t="s">
        <v>97</v>
      </c>
      <c r="Q8" s="354"/>
      <c r="R8" s="354"/>
      <c r="T8" s="144"/>
      <c r="U8" s="144"/>
      <c r="V8" s="144"/>
      <c r="X8" s="312"/>
      <c r="Y8" s="312"/>
      <c r="Z8" s="312"/>
    </row>
    <row r="9" spans="1:26" x14ac:dyDescent="0.25">
      <c r="B9" s="11"/>
      <c r="D9" s="12"/>
      <c r="E9" s="12"/>
      <c r="F9" s="12"/>
      <c r="G9" s="12"/>
      <c r="I9" s="10"/>
      <c r="O9" s="10"/>
      <c r="P9" s="136"/>
      <c r="Q9" s="136"/>
      <c r="R9" s="136"/>
      <c r="T9" s="143" t="s">
        <v>102</v>
      </c>
      <c r="U9" s="144"/>
      <c r="V9" s="145">
        <f>D10</f>
        <v>0</v>
      </c>
      <c r="X9" s="157"/>
      <c r="Y9" s="157"/>
      <c r="Z9" s="157"/>
    </row>
    <row r="10" spans="1:26" x14ac:dyDescent="0.25">
      <c r="B10" s="132" t="s">
        <v>21</v>
      </c>
      <c r="C10" s="245"/>
      <c r="D10" s="118"/>
      <c r="E10" s="118"/>
      <c r="F10" s="12"/>
      <c r="G10" s="12"/>
      <c r="I10" s="10"/>
      <c r="O10" s="13"/>
      <c r="P10" s="354" t="s">
        <v>98</v>
      </c>
      <c r="Q10" s="354"/>
      <c r="R10" s="354"/>
      <c r="T10" s="143"/>
      <c r="U10" s="144"/>
      <c r="V10" s="144"/>
      <c r="X10" s="325" t="s">
        <v>60</v>
      </c>
      <c r="Y10" s="325"/>
      <c r="Z10" s="325"/>
    </row>
    <row r="11" spans="1:26" x14ac:dyDescent="0.25">
      <c r="B11" s="11"/>
      <c r="D11" s="12"/>
      <c r="E11" s="12"/>
      <c r="F11" s="12"/>
      <c r="G11" s="12"/>
      <c r="H11" s="10"/>
      <c r="I11" s="10"/>
      <c r="O11" s="10"/>
      <c r="P11" s="137"/>
      <c r="Q11" s="136"/>
      <c r="R11" s="136"/>
      <c r="T11" s="358" t="s">
        <v>98</v>
      </c>
      <c r="U11" s="358"/>
      <c r="V11" s="358"/>
      <c r="X11" s="42"/>
      <c r="Y11" s="42"/>
      <c r="Z11" s="42"/>
    </row>
    <row r="12" spans="1:26" x14ac:dyDescent="0.25">
      <c r="B12" s="132" t="s">
        <v>83</v>
      </c>
      <c r="C12" s="245"/>
      <c r="D12" s="118"/>
      <c r="E12" s="118"/>
      <c r="F12" s="12"/>
      <c r="G12" s="12"/>
      <c r="H12" s="10"/>
      <c r="I12" s="10"/>
      <c r="P12" s="347" t="s">
        <v>107</v>
      </c>
      <c r="Q12" s="347"/>
      <c r="R12" s="136">
        <f>R6-F18</f>
        <v>0</v>
      </c>
      <c r="T12" s="145"/>
      <c r="U12" s="144"/>
      <c r="V12" s="144"/>
      <c r="X12" s="324" t="s">
        <v>118</v>
      </c>
      <c r="Y12" s="324"/>
      <c r="Z12" s="324"/>
    </row>
    <row r="13" spans="1:26" ht="15" customHeight="1" x14ac:dyDescent="0.25">
      <c r="B13" s="11"/>
      <c r="D13" s="12"/>
      <c r="E13" s="12"/>
      <c r="F13" s="12"/>
      <c r="G13" s="12"/>
      <c r="I13" s="10"/>
      <c r="P13" s="134"/>
      <c r="Q13" s="136"/>
      <c r="R13" s="134"/>
      <c r="T13" s="359" t="s">
        <v>129</v>
      </c>
      <c r="U13" s="359"/>
      <c r="V13" s="359"/>
      <c r="X13" s="42"/>
      <c r="Y13" s="42"/>
      <c r="Z13" s="42"/>
    </row>
    <row r="14" spans="1:26" x14ac:dyDescent="0.25">
      <c r="B14" s="11"/>
      <c r="D14" s="1" t="s">
        <v>3</v>
      </c>
      <c r="E14" s="2">
        <f>E8+E10-E12</f>
        <v>0</v>
      </c>
      <c r="F14" s="12"/>
      <c r="G14" s="12"/>
      <c r="I14" s="10"/>
      <c r="P14" s="348" t="s">
        <v>71</v>
      </c>
      <c r="Q14" s="348"/>
      <c r="R14" s="133">
        <f>R12*C16</f>
        <v>0</v>
      </c>
      <c r="T14" s="359"/>
      <c r="U14" s="359"/>
      <c r="V14" s="359"/>
      <c r="Y14" s="163"/>
    </row>
    <row r="15" spans="1:26" x14ac:dyDescent="0.25">
      <c r="B15" s="11"/>
      <c r="D15" s="12"/>
      <c r="E15" s="12"/>
      <c r="F15" s="12"/>
      <c r="G15" s="12"/>
      <c r="I15" s="10"/>
      <c r="Q15" s="138"/>
      <c r="T15" s="144"/>
      <c r="U15" s="144"/>
      <c r="V15" s="144"/>
      <c r="Y15" s="163"/>
    </row>
    <row r="16" spans="1:26" ht="15.75" customHeight="1" thickBot="1" x14ac:dyDescent="0.3">
      <c r="B16" s="69" t="s">
        <v>9</v>
      </c>
      <c r="C16" s="141"/>
      <c r="E16" s="17" t="s">
        <v>11</v>
      </c>
      <c r="F16" s="73">
        <f>F18*C16</f>
        <v>0</v>
      </c>
      <c r="L16" s="14"/>
      <c r="P16" s="349" t="s">
        <v>72</v>
      </c>
      <c r="Q16" s="349"/>
      <c r="R16" s="147">
        <f>J21</f>
        <v>0</v>
      </c>
      <c r="T16" s="361" t="s">
        <v>110</v>
      </c>
      <c r="U16" s="361"/>
      <c r="V16" s="361"/>
      <c r="Y16" s="163"/>
    </row>
    <row r="17" spans="2:26" ht="15.75" thickBot="1" x14ac:dyDescent="0.3">
      <c r="B17" s="15"/>
      <c r="C17"/>
      <c r="F17" s="12"/>
      <c r="G17" s="12"/>
      <c r="H17" s="5">
        <f>((D12-D8)+(D12-F18))*C16</f>
        <v>0</v>
      </c>
      <c r="K17" s="10"/>
      <c r="P17" s="149"/>
      <c r="Q17" s="150"/>
      <c r="R17" s="150"/>
      <c r="T17" s="361"/>
      <c r="U17" s="361"/>
      <c r="V17" s="361"/>
      <c r="Z17" s="164"/>
    </row>
    <row r="18" spans="2:26" x14ac:dyDescent="0.25">
      <c r="B18" s="69" t="s">
        <v>10</v>
      </c>
      <c r="C18" s="140"/>
      <c r="E18" s="17" t="s">
        <v>95</v>
      </c>
      <c r="F18" s="32">
        <f>F6-E14</f>
        <v>0</v>
      </c>
      <c r="P18" s="344" t="s">
        <v>101</v>
      </c>
      <c r="Q18" s="344"/>
      <c r="R18" s="344"/>
      <c r="T18" s="144"/>
      <c r="U18" s="144"/>
      <c r="V18" s="144"/>
      <c r="Y18" s="10"/>
    </row>
    <row r="19" spans="2:26" x14ac:dyDescent="0.25">
      <c r="B19" s="15"/>
      <c r="C19"/>
      <c r="D19" s="16"/>
      <c r="E19" s="17"/>
      <c r="F19" s="16"/>
      <c r="G19" s="16"/>
      <c r="J19" s="18"/>
      <c r="M19" s="10"/>
      <c r="P19" s="149"/>
      <c r="Q19" s="149"/>
      <c r="R19" s="150"/>
      <c r="T19" s="360" t="s">
        <v>77</v>
      </c>
      <c r="U19" s="360"/>
      <c r="V19" s="146">
        <f>ROUND((V5+V4)/2,2)</f>
        <v>0</v>
      </c>
      <c r="Y19" s="10"/>
    </row>
    <row r="20" spans="2:26" ht="15.75" thickBot="1" x14ac:dyDescent="0.3">
      <c r="B20" s="20" t="s">
        <v>105</v>
      </c>
      <c r="C20" s="2">
        <f>E14*C16</f>
        <v>0</v>
      </c>
      <c r="E20" s="37"/>
      <c r="I20" s="19"/>
      <c r="P20" s="344" t="s">
        <v>102</v>
      </c>
      <c r="Q20" s="344"/>
      <c r="R20" s="150">
        <f>-D8</f>
        <v>0</v>
      </c>
      <c r="T20" s="346" t="s">
        <v>104</v>
      </c>
      <c r="U20" s="346"/>
      <c r="V20" s="146">
        <f>(V19-V9)+(V19-F18)</f>
        <v>0</v>
      </c>
      <c r="Y20" s="10"/>
    </row>
    <row r="21" spans="2:26" ht="15.75" thickBot="1" x14ac:dyDescent="0.3">
      <c r="C21"/>
      <c r="E21" s="20"/>
      <c r="F21" s="21"/>
      <c r="G21" s="21"/>
      <c r="J21" s="6">
        <f>D12</f>
        <v>0</v>
      </c>
      <c r="L21" s="10"/>
      <c r="P21" s="149"/>
      <c r="Q21" s="149"/>
      <c r="R21" s="150"/>
      <c r="T21" s="346" t="s">
        <v>71</v>
      </c>
      <c r="U21" s="346"/>
      <c r="V21" s="146">
        <f>V20*C16</f>
        <v>0</v>
      </c>
    </row>
    <row r="22" spans="2:26" ht="15.75" thickBot="1" x14ac:dyDescent="0.3">
      <c r="C22" s="130"/>
      <c r="E22" s="20"/>
      <c r="F22" s="21"/>
      <c r="G22" s="21"/>
      <c r="L22" s="10"/>
      <c r="M22" s="6">
        <f>D8</f>
        <v>0</v>
      </c>
      <c r="P22" s="344" t="s">
        <v>103</v>
      </c>
      <c r="Q22" s="344"/>
      <c r="R22" s="150">
        <f>D12</f>
        <v>0</v>
      </c>
    </row>
    <row r="23" spans="2:26" ht="15.75" thickBot="1" x14ac:dyDescent="0.3">
      <c r="B23" s="17" t="s">
        <v>111</v>
      </c>
      <c r="C23" s="151" t="e">
        <f>H8/F16</f>
        <v>#DIV/0!</v>
      </c>
      <c r="E23" s="126"/>
      <c r="F23" s="165"/>
      <c r="G23" s="127"/>
      <c r="H23" s="120"/>
      <c r="I23" s="120"/>
      <c r="J23" s="120"/>
      <c r="K23" s="120"/>
      <c r="L23" s="121"/>
      <c r="M23" s="120"/>
      <c r="N23" s="120"/>
      <c r="O23" s="120"/>
      <c r="P23" s="149"/>
      <c r="Q23" s="149"/>
      <c r="R23" s="149"/>
      <c r="V23" s="138"/>
    </row>
    <row r="24" spans="2:26" ht="23.25" thickBot="1" x14ac:dyDescent="0.35">
      <c r="C24" s="131"/>
      <c r="E24" s="332" t="s">
        <v>94</v>
      </c>
      <c r="F24" s="332"/>
      <c r="G24" s="332"/>
      <c r="I24" s="244">
        <f>F18-R24</f>
        <v>0</v>
      </c>
      <c r="K24" s="122"/>
      <c r="L24" s="120"/>
      <c r="M24" s="123"/>
      <c r="N24" s="120"/>
      <c r="O24" s="120"/>
      <c r="P24" s="344" t="s">
        <v>108</v>
      </c>
      <c r="Q24" s="344"/>
      <c r="R24" s="150">
        <f>R20+R22</f>
        <v>0</v>
      </c>
    </row>
    <row r="25" spans="2:26" ht="17.25" customHeight="1" x14ac:dyDescent="0.25">
      <c r="B25" s="17" t="s">
        <v>112</v>
      </c>
      <c r="C25" s="151" t="e">
        <f>H17/F16</f>
        <v>#DIV/0!</v>
      </c>
      <c r="K25" s="120"/>
      <c r="L25" s="124"/>
      <c r="M25" s="121"/>
      <c r="N25" s="121"/>
      <c r="O25" s="125"/>
      <c r="P25" s="149"/>
      <c r="Q25" s="149"/>
      <c r="R25" s="149"/>
      <c r="V25" s="155"/>
    </row>
    <row r="26" spans="2:26" x14ac:dyDescent="0.25">
      <c r="B26" s="11"/>
      <c r="C26" s="86"/>
      <c r="E26" s="350" t="s">
        <v>28</v>
      </c>
      <c r="F26" s="350"/>
      <c r="G26" s="118"/>
      <c r="K26" s="124"/>
      <c r="L26" s="152"/>
      <c r="M26" s="121"/>
      <c r="N26" s="120"/>
      <c r="O26" s="120"/>
      <c r="P26" s="341" t="s">
        <v>147</v>
      </c>
      <c r="Q26" s="341"/>
      <c r="R26" s="341"/>
      <c r="U26" s="138"/>
      <c r="V26" s="155"/>
    </row>
    <row r="27" spans="2:26" x14ac:dyDescent="0.25">
      <c r="K27" s="124"/>
      <c r="L27" s="154"/>
      <c r="M27" s="121"/>
      <c r="N27" s="120"/>
      <c r="O27" s="120"/>
      <c r="P27" s="341"/>
      <c r="Q27" s="341"/>
      <c r="R27" s="341"/>
      <c r="T27" s="138"/>
      <c r="U27" s="138"/>
      <c r="V27" s="139"/>
    </row>
    <row r="28" spans="2:26" x14ac:dyDescent="0.25">
      <c r="B28" s="11"/>
      <c r="C28" s="87"/>
      <c r="E28" s="350" t="s">
        <v>71</v>
      </c>
      <c r="F28" s="350"/>
      <c r="G28" s="119">
        <f>IF((G26&lt;J21),((D12-D8)+(G26-F18))*1000,IF(AND((G26&gt;J21),(G26&lt;M22)),((G26-M22)+(G26-F18))*C16,H8))</f>
        <v>0</v>
      </c>
      <c r="K28" s="124"/>
      <c r="L28" s="153"/>
      <c r="M28" s="121"/>
      <c r="N28" s="120"/>
      <c r="O28" s="120"/>
      <c r="R28" s="138"/>
      <c r="T28" s="138"/>
      <c r="U28" s="138"/>
      <c r="V28" s="139"/>
    </row>
    <row r="29" spans="2:26" x14ac:dyDescent="0.25">
      <c r="B29" s="269"/>
      <c r="D29" s="38"/>
      <c r="E29" s="120"/>
      <c r="F29" s="121"/>
      <c r="G29" s="121"/>
      <c r="K29" s="120"/>
      <c r="L29" s="121"/>
      <c r="M29" s="120"/>
      <c r="N29" s="120"/>
      <c r="O29" s="120"/>
      <c r="T29" s="138"/>
      <c r="V29" s="155"/>
    </row>
    <row r="30" spans="2:26" x14ac:dyDescent="0.25">
      <c r="B30" s="269"/>
      <c r="E30" s="120"/>
      <c r="F30" s="166"/>
      <c r="G30" s="120"/>
      <c r="H30" s="167"/>
      <c r="I30" s="120"/>
      <c r="J30" s="121"/>
      <c r="K30" s="120"/>
      <c r="L30" s="121"/>
      <c r="M30" s="121"/>
      <c r="N30" s="120"/>
      <c r="O30" s="120"/>
      <c r="P30" s="343"/>
      <c r="Q30" s="343"/>
      <c r="R30" s="138"/>
    </row>
    <row r="31" spans="2:26" ht="15" customHeight="1" x14ac:dyDescent="0.25">
      <c r="E31" s="120"/>
      <c r="F31" s="121"/>
      <c r="G31" s="120"/>
      <c r="H31" s="121"/>
      <c r="I31" s="120"/>
      <c r="J31" s="167"/>
      <c r="K31" s="167"/>
      <c r="L31" s="121"/>
      <c r="M31" s="121"/>
      <c r="N31" s="120"/>
      <c r="O31" s="120"/>
    </row>
    <row r="32" spans="2:26" ht="15" customHeight="1" x14ac:dyDescent="0.25">
      <c r="B32" s="314" t="s">
        <v>64</v>
      </c>
      <c r="C32" s="314"/>
      <c r="D32" s="314"/>
      <c r="E32" s="314"/>
      <c r="F32" s="121"/>
      <c r="G32" s="120"/>
      <c r="H32" s="120"/>
      <c r="I32" s="167"/>
      <c r="J32" s="120"/>
      <c r="K32" s="121"/>
      <c r="L32" s="121"/>
      <c r="M32" s="121"/>
      <c r="N32" s="120"/>
      <c r="O32" s="120"/>
    </row>
    <row r="33" spans="2:15" x14ac:dyDescent="0.25">
      <c r="B33" s="314"/>
      <c r="C33" s="314"/>
      <c r="D33" s="314"/>
      <c r="E33" s="314"/>
      <c r="F33" s="167"/>
      <c r="G33" s="120"/>
      <c r="H33" s="121"/>
      <c r="I33" s="167"/>
      <c r="J33" s="167"/>
      <c r="K33" s="121"/>
      <c r="L33" s="121"/>
      <c r="M33" s="121"/>
      <c r="N33" s="120"/>
      <c r="O33" s="120"/>
    </row>
    <row r="34" spans="2:15" x14ac:dyDescent="0.25">
      <c r="E34" s="120"/>
      <c r="F34" s="167"/>
      <c r="G34" s="120"/>
      <c r="H34" s="120"/>
      <c r="I34" s="120"/>
      <c r="J34" s="167"/>
      <c r="K34" s="121"/>
      <c r="L34" s="120"/>
      <c r="M34" s="120"/>
      <c r="N34" s="120"/>
      <c r="O34" s="120"/>
    </row>
    <row r="35" spans="2:15" x14ac:dyDescent="0.25">
      <c r="E35" s="120"/>
      <c r="F35" s="121"/>
      <c r="G35" s="120"/>
      <c r="H35" s="121"/>
      <c r="I35" s="120"/>
      <c r="J35" s="120"/>
      <c r="K35" s="121"/>
      <c r="L35" s="120"/>
      <c r="M35" s="120"/>
      <c r="N35" s="120"/>
      <c r="O35" s="120"/>
    </row>
    <row r="36" spans="2:15" ht="27" x14ac:dyDescent="0.4">
      <c r="B36" s="311" t="s">
        <v>142</v>
      </c>
      <c r="C36" s="311"/>
      <c r="D36" s="311"/>
      <c r="E36" s="311"/>
      <c r="K36" s="121"/>
    </row>
    <row r="37" spans="2:15" x14ac:dyDescent="0.25">
      <c r="B37" s="120"/>
      <c r="C37" s="129"/>
      <c r="D37" s="120"/>
      <c r="E37" s="120"/>
      <c r="F37" s="121"/>
      <c r="G37" s="120"/>
      <c r="H37" s="121"/>
      <c r="I37" s="121"/>
      <c r="J37" s="125"/>
      <c r="K37" s="121"/>
      <c r="L37" s="120"/>
      <c r="M37" s="120"/>
      <c r="N37" s="120"/>
      <c r="O37" s="120"/>
    </row>
    <row r="38" spans="2:15" x14ac:dyDescent="0.25">
      <c r="B38" s="175" t="s">
        <v>130</v>
      </c>
      <c r="C38" s="176" t="s">
        <v>131</v>
      </c>
      <c r="D38" s="175" t="s">
        <v>132</v>
      </c>
      <c r="E38" s="175" t="s">
        <v>133</v>
      </c>
      <c r="F38" s="121"/>
      <c r="G38" s="120"/>
      <c r="H38" s="120"/>
      <c r="I38" s="120"/>
      <c r="J38" s="120"/>
      <c r="K38" s="121"/>
      <c r="L38" s="120"/>
      <c r="M38" s="120"/>
      <c r="N38" s="120"/>
      <c r="O38" s="120"/>
    </row>
    <row r="39" spans="2:15" x14ac:dyDescent="0.25">
      <c r="B39" s="120"/>
      <c r="C39" s="129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</row>
    <row r="40" spans="2:15" x14ac:dyDescent="0.25">
      <c r="B40" s="238"/>
      <c r="C40" s="239"/>
      <c r="D40" s="240"/>
      <c r="E40" s="241"/>
      <c r="F40" s="120"/>
      <c r="G40" s="120"/>
      <c r="H40" s="120"/>
      <c r="I40" s="120"/>
      <c r="J40" s="120"/>
      <c r="K40" s="120"/>
      <c r="L40" s="120"/>
      <c r="M40" s="120"/>
      <c r="N40" s="120"/>
      <c r="O40" s="120"/>
    </row>
    <row r="41" spans="2:15" x14ac:dyDescent="0.25">
      <c r="B41" s="180" t="s">
        <v>136</v>
      </c>
      <c r="C41" s="181">
        <f>F6*C16</f>
        <v>0</v>
      </c>
      <c r="D41" s="182"/>
      <c r="E41" s="183">
        <f t="shared" ref="E41:E45" si="0">E40+D41-C41</f>
        <v>0</v>
      </c>
      <c r="F41" s="120"/>
      <c r="G41" s="120"/>
      <c r="H41" s="120"/>
      <c r="I41" s="120"/>
      <c r="J41" s="120"/>
      <c r="K41" s="120"/>
      <c r="L41" s="120"/>
      <c r="M41" s="120"/>
      <c r="N41" s="120"/>
      <c r="O41" s="120"/>
    </row>
    <row r="42" spans="2:15" x14ac:dyDescent="0.25">
      <c r="B42" s="177" t="s">
        <v>137</v>
      </c>
      <c r="C42" s="178"/>
      <c r="D42" s="179">
        <f>E8*C16</f>
        <v>0</v>
      </c>
      <c r="E42" s="179">
        <f t="shared" si="0"/>
        <v>0</v>
      </c>
      <c r="F42" s="121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2:15" x14ac:dyDescent="0.25">
      <c r="B43" s="180" t="s">
        <v>138</v>
      </c>
      <c r="C43" s="184"/>
      <c r="D43" s="185">
        <f>E10*C16</f>
        <v>0</v>
      </c>
      <c r="E43" s="183">
        <f t="shared" si="0"/>
        <v>0</v>
      </c>
      <c r="F43" s="120"/>
      <c r="G43" s="120"/>
      <c r="H43" s="120"/>
      <c r="I43" s="120"/>
      <c r="J43" s="120"/>
      <c r="K43" s="120"/>
      <c r="L43" s="120"/>
      <c r="M43" s="120"/>
      <c r="N43" s="120"/>
      <c r="O43" s="120"/>
    </row>
    <row r="44" spans="2:15" x14ac:dyDescent="0.25">
      <c r="B44" s="177" t="s">
        <v>139</v>
      </c>
      <c r="C44" s="186">
        <f>E12*C16</f>
        <v>0</v>
      </c>
      <c r="D44" s="179"/>
      <c r="E44" s="179">
        <f t="shared" si="0"/>
        <v>0</v>
      </c>
      <c r="F44" s="121"/>
      <c r="G44" s="120"/>
      <c r="H44" s="120"/>
      <c r="I44" s="120"/>
      <c r="J44" s="120"/>
      <c r="K44" s="120"/>
      <c r="L44" s="120"/>
      <c r="M44" s="120"/>
      <c r="N44" s="120"/>
      <c r="O44" s="120"/>
    </row>
    <row r="45" spans="2:15" x14ac:dyDescent="0.25">
      <c r="B45" s="180" t="s">
        <v>140</v>
      </c>
      <c r="C45" s="181"/>
      <c r="D45" s="185">
        <f>D8*C16</f>
        <v>0</v>
      </c>
      <c r="E45" s="183">
        <f t="shared" si="0"/>
        <v>0</v>
      </c>
      <c r="F45" s="121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2:15" x14ac:dyDescent="0.25">
      <c r="B46" s="238"/>
      <c r="C46" s="239"/>
      <c r="D46" s="240"/>
      <c r="E46" s="241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2:15" x14ac:dyDescent="0.25">
      <c r="B47" s="191"/>
      <c r="C47" s="193"/>
      <c r="D47" s="192"/>
      <c r="E47" s="192"/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2:15" x14ac:dyDescent="0.25">
      <c r="B48" s="172"/>
      <c r="C48" s="173"/>
      <c r="D48" s="174"/>
      <c r="E48" s="170"/>
      <c r="F48" s="120"/>
      <c r="G48" s="120"/>
      <c r="H48" s="120"/>
      <c r="I48" s="120"/>
      <c r="J48" s="120"/>
      <c r="K48" s="120"/>
      <c r="L48" s="120"/>
      <c r="M48" s="120"/>
      <c r="N48" s="120"/>
      <c r="O48" s="120"/>
    </row>
    <row r="49" spans="2:15" ht="27" x14ac:dyDescent="0.4">
      <c r="B49" s="311" t="s">
        <v>143</v>
      </c>
      <c r="C49" s="311"/>
      <c r="D49" s="311"/>
      <c r="E49" s="311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2:15" x14ac:dyDescent="0.25">
      <c r="B50" s="120"/>
      <c r="C50" s="129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2:15" x14ac:dyDescent="0.25">
      <c r="B51" s="175" t="s">
        <v>130</v>
      </c>
      <c r="C51" s="176" t="s">
        <v>131</v>
      </c>
      <c r="D51" s="175" t="s">
        <v>132</v>
      </c>
      <c r="E51" s="175" t="s">
        <v>133</v>
      </c>
      <c r="F51" s="120"/>
      <c r="G51" s="120"/>
      <c r="H51" s="120"/>
      <c r="I51" s="120"/>
      <c r="J51" s="120"/>
      <c r="K51" s="120"/>
      <c r="L51" s="120"/>
      <c r="M51" s="120"/>
      <c r="N51" s="120"/>
      <c r="O51" s="120"/>
    </row>
    <row r="52" spans="2:15" x14ac:dyDescent="0.25">
      <c r="B52" s="120"/>
      <c r="C52" s="129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</row>
    <row r="53" spans="2:15" x14ac:dyDescent="0.25">
      <c r="B53" s="238"/>
      <c r="C53" s="239"/>
      <c r="D53" s="240"/>
      <c r="E53" s="241"/>
      <c r="F53" s="120"/>
      <c r="G53" s="120"/>
      <c r="H53" s="120"/>
      <c r="I53" s="120"/>
      <c r="J53" s="120"/>
      <c r="K53" s="120"/>
      <c r="L53" s="120"/>
      <c r="M53" s="120"/>
      <c r="N53" s="120"/>
      <c r="O53" s="120"/>
    </row>
    <row r="54" spans="2:15" x14ac:dyDescent="0.25">
      <c r="B54" s="180" t="s">
        <v>136</v>
      </c>
      <c r="C54" s="181">
        <f>F6*C16</f>
        <v>0</v>
      </c>
      <c r="D54" s="182"/>
      <c r="E54" s="183">
        <f t="shared" ref="E54:E59" si="1">E53+D54-C54</f>
        <v>0</v>
      </c>
      <c r="F54" s="120"/>
      <c r="G54" s="120"/>
      <c r="H54" s="120"/>
      <c r="I54" s="120"/>
      <c r="J54" s="120"/>
      <c r="K54" s="120"/>
      <c r="L54" s="120"/>
      <c r="M54" s="120"/>
      <c r="N54" s="120"/>
      <c r="O54" s="120"/>
    </row>
    <row r="55" spans="2:15" x14ac:dyDescent="0.25">
      <c r="B55" s="177" t="s">
        <v>137</v>
      </c>
      <c r="C55" s="178"/>
      <c r="D55" s="179">
        <f>D42</f>
        <v>0</v>
      </c>
      <c r="E55" s="179">
        <f t="shared" si="1"/>
        <v>0</v>
      </c>
      <c r="F55" s="120"/>
      <c r="G55" s="120"/>
      <c r="H55" s="120"/>
      <c r="I55" s="120"/>
      <c r="J55" s="121"/>
      <c r="K55" s="120"/>
      <c r="L55" s="120"/>
      <c r="M55" s="120"/>
      <c r="N55" s="120"/>
      <c r="O55" s="120"/>
    </row>
    <row r="56" spans="2:15" x14ac:dyDescent="0.25">
      <c r="B56" s="180" t="s">
        <v>138</v>
      </c>
      <c r="C56" s="184"/>
      <c r="D56" s="185">
        <f>D43</f>
        <v>0</v>
      </c>
      <c r="E56" s="183">
        <f t="shared" si="1"/>
        <v>0</v>
      </c>
      <c r="F56" s="120"/>
      <c r="G56" s="120"/>
      <c r="H56" s="120"/>
      <c r="I56" s="120"/>
      <c r="J56" s="121"/>
      <c r="K56" s="120"/>
      <c r="L56" s="120"/>
      <c r="M56" s="120"/>
      <c r="N56" s="120"/>
      <c r="O56" s="120"/>
    </row>
    <row r="57" spans="2:15" x14ac:dyDescent="0.25">
      <c r="B57" s="177" t="s">
        <v>139</v>
      </c>
      <c r="C57" s="186">
        <f>C44</f>
        <v>0</v>
      </c>
      <c r="D57" s="179"/>
      <c r="E57" s="179">
        <f t="shared" si="1"/>
        <v>0</v>
      </c>
      <c r="F57" s="120"/>
      <c r="G57" s="120"/>
      <c r="H57" s="120"/>
      <c r="I57" s="120"/>
      <c r="J57" s="120"/>
      <c r="K57" s="120"/>
      <c r="L57" s="167"/>
      <c r="M57" s="120"/>
      <c r="N57" s="120"/>
      <c r="O57" s="120"/>
    </row>
    <row r="58" spans="2:15" x14ac:dyDescent="0.25">
      <c r="B58" s="180" t="s">
        <v>160</v>
      </c>
      <c r="C58" s="181">
        <f>D10*C16</f>
        <v>0</v>
      </c>
      <c r="D58" s="185"/>
      <c r="E58" s="183">
        <f t="shared" si="1"/>
        <v>0</v>
      </c>
      <c r="F58" s="330" t="s">
        <v>141</v>
      </c>
      <c r="G58" s="65">
        <f>J21</f>
        <v>0</v>
      </c>
      <c r="H58" s="342"/>
      <c r="L58" s="10"/>
    </row>
    <row r="59" spans="2:15" x14ac:dyDescent="0.25">
      <c r="B59" s="177" t="s">
        <v>171</v>
      </c>
      <c r="C59" s="186"/>
      <c r="D59" s="189">
        <f>H58*C16*2</f>
        <v>0</v>
      </c>
      <c r="E59" s="183">
        <f t="shared" si="1"/>
        <v>0</v>
      </c>
      <c r="F59" s="330"/>
      <c r="G59" s="199">
        <f>M22</f>
        <v>0</v>
      </c>
      <c r="H59" s="342"/>
      <c r="L59" s="10"/>
    </row>
    <row r="60" spans="2:15" x14ac:dyDescent="0.25">
      <c r="B60" s="238"/>
      <c r="C60" s="239"/>
      <c r="D60" s="240"/>
      <c r="E60" s="241"/>
    </row>
    <row r="61" spans="2:15" x14ac:dyDescent="0.25">
      <c r="B61" s="231"/>
      <c r="C61" s="232"/>
      <c r="E61" s="192"/>
    </row>
    <row r="63" spans="2:15" ht="18" x14ac:dyDescent="0.25">
      <c r="B63" s="340" t="s">
        <v>144</v>
      </c>
      <c r="C63" s="340"/>
      <c r="D63" s="340"/>
      <c r="E63" s="340"/>
      <c r="F63" s="120"/>
      <c r="G63" s="120"/>
    </row>
    <row r="64" spans="2:15" x14ac:dyDescent="0.25">
      <c r="B64" s="120"/>
      <c r="C64" s="129"/>
      <c r="D64" s="120"/>
      <c r="E64" s="120"/>
      <c r="F64" s="120"/>
      <c r="G64" s="120"/>
    </row>
    <row r="65" spans="2:7" x14ac:dyDescent="0.25">
      <c r="B65" s="175" t="s">
        <v>130</v>
      </c>
      <c r="C65" s="176" t="s">
        <v>131</v>
      </c>
      <c r="D65" s="175" t="s">
        <v>132</v>
      </c>
      <c r="E65" s="175" t="s">
        <v>133</v>
      </c>
      <c r="F65" s="120"/>
      <c r="G65" s="120"/>
    </row>
    <row r="66" spans="2:7" x14ac:dyDescent="0.25">
      <c r="B66" s="120"/>
      <c r="C66" s="129"/>
      <c r="D66" s="120"/>
      <c r="E66" s="120"/>
      <c r="F66" s="120"/>
      <c r="G66" s="120"/>
    </row>
    <row r="67" spans="2:7" x14ac:dyDescent="0.25">
      <c r="B67" s="238"/>
      <c r="C67" s="239"/>
      <c r="D67" s="240"/>
      <c r="E67" s="241"/>
      <c r="F67" s="120"/>
      <c r="G67" s="120"/>
    </row>
    <row r="68" spans="2:7" x14ac:dyDescent="0.25">
      <c r="B68" s="180" t="s">
        <v>136</v>
      </c>
      <c r="C68" s="181">
        <f>C54</f>
        <v>0</v>
      </c>
      <c r="D68" s="182"/>
      <c r="E68" s="183">
        <f t="shared" ref="E68:E74" si="2">E67+D68-C68</f>
        <v>0</v>
      </c>
      <c r="F68" s="120"/>
      <c r="G68" s="120"/>
    </row>
    <row r="69" spans="2:7" x14ac:dyDescent="0.25">
      <c r="B69" s="177" t="s">
        <v>137</v>
      </c>
      <c r="C69" s="178"/>
      <c r="D69" s="179">
        <f>D55</f>
        <v>0</v>
      </c>
      <c r="E69" s="179">
        <f t="shared" si="2"/>
        <v>0</v>
      </c>
      <c r="F69" s="120"/>
      <c r="G69" s="120"/>
    </row>
    <row r="70" spans="2:7" x14ac:dyDescent="0.25">
      <c r="B70" s="180" t="s">
        <v>138</v>
      </c>
      <c r="C70" s="184"/>
      <c r="D70" s="185">
        <f>D56</f>
        <v>0</v>
      </c>
      <c r="E70" s="183">
        <f t="shared" si="2"/>
        <v>0</v>
      </c>
      <c r="F70" s="120"/>
      <c r="G70" s="120"/>
    </row>
    <row r="71" spans="2:7" x14ac:dyDescent="0.25">
      <c r="B71" s="177" t="s">
        <v>139</v>
      </c>
      <c r="C71" s="186">
        <f>C57</f>
        <v>0</v>
      </c>
      <c r="D71" s="179"/>
      <c r="E71" s="179">
        <f t="shared" si="2"/>
        <v>0</v>
      </c>
      <c r="F71" s="120"/>
      <c r="G71" s="120"/>
    </row>
    <row r="72" spans="2:7" x14ac:dyDescent="0.25">
      <c r="B72" s="180" t="s">
        <v>172</v>
      </c>
      <c r="C72" s="181">
        <f>C58</f>
        <v>0</v>
      </c>
      <c r="D72" s="185"/>
      <c r="E72" s="183">
        <f t="shared" si="2"/>
        <v>0</v>
      </c>
      <c r="F72" s="17" t="s">
        <v>141</v>
      </c>
      <c r="G72" s="243">
        <v>20</v>
      </c>
    </row>
    <row r="73" spans="2:7" x14ac:dyDescent="0.25">
      <c r="B73" s="177" t="s">
        <v>145</v>
      </c>
      <c r="C73" s="186"/>
      <c r="D73" s="189">
        <f>C16*D12</f>
        <v>0</v>
      </c>
      <c r="E73" s="179">
        <f t="shared" si="2"/>
        <v>0</v>
      </c>
    </row>
    <row r="74" spans="2:7" x14ac:dyDescent="0.25">
      <c r="B74" s="180" t="s">
        <v>146</v>
      </c>
      <c r="C74" s="187"/>
      <c r="D74" s="183">
        <f>G72*C16</f>
        <v>0</v>
      </c>
      <c r="E74" s="183">
        <f t="shared" si="2"/>
        <v>0</v>
      </c>
    </row>
    <row r="75" spans="2:7" x14ac:dyDescent="0.25">
      <c r="B75" s="238"/>
      <c r="C75" s="239"/>
      <c r="D75" s="240"/>
      <c r="E75" s="241"/>
    </row>
  </sheetData>
  <sheetProtection sheet="1"/>
  <mergeCells count="37">
    <mergeCell ref="E24:G24"/>
    <mergeCell ref="E26:F26"/>
    <mergeCell ref="E28:F28"/>
    <mergeCell ref="B2:N2"/>
    <mergeCell ref="P2:V2"/>
    <mergeCell ref="P4:Q4"/>
    <mergeCell ref="P8:R8"/>
    <mergeCell ref="P10:R10"/>
    <mergeCell ref="P6:Q6"/>
    <mergeCell ref="P24:Q24"/>
    <mergeCell ref="T4:U5"/>
    <mergeCell ref="T7:V7"/>
    <mergeCell ref="T11:V11"/>
    <mergeCell ref="T13:V14"/>
    <mergeCell ref="T19:U19"/>
    <mergeCell ref="T16:V17"/>
    <mergeCell ref="P22:Q22"/>
    <mergeCell ref="P20:Q20"/>
    <mergeCell ref="X2:Z2"/>
    <mergeCell ref="X4:Z4"/>
    <mergeCell ref="X6:Z8"/>
    <mergeCell ref="X10:Z10"/>
    <mergeCell ref="X12:Z12"/>
    <mergeCell ref="T20:U20"/>
    <mergeCell ref="T21:U21"/>
    <mergeCell ref="P12:Q12"/>
    <mergeCell ref="P14:Q14"/>
    <mergeCell ref="P16:Q16"/>
    <mergeCell ref="P18:R18"/>
    <mergeCell ref="B36:E36"/>
    <mergeCell ref="B49:E49"/>
    <mergeCell ref="B63:E63"/>
    <mergeCell ref="P26:R27"/>
    <mergeCell ref="H58:H59"/>
    <mergeCell ref="F58:F59"/>
    <mergeCell ref="P30:Q30"/>
    <mergeCell ref="B32:E33"/>
  </mergeCells>
  <conditionalFormatting sqref="E45">
    <cfRule type="cellIs" dxfId="131" priority="5" operator="lessThan">
      <formula>0</formula>
    </cfRule>
    <cfRule type="cellIs" dxfId="130" priority="6" operator="greaterThan">
      <formula>0</formula>
    </cfRule>
  </conditionalFormatting>
  <conditionalFormatting sqref="E47">
    <cfRule type="cellIs" dxfId="129" priority="13" operator="lessThan">
      <formula>0</formula>
    </cfRule>
    <cfRule type="cellIs" dxfId="128" priority="14" operator="greaterThan">
      <formula>0</formula>
    </cfRule>
  </conditionalFormatting>
  <conditionalFormatting sqref="E59">
    <cfRule type="cellIs" dxfId="127" priority="3" operator="lessThan">
      <formula>0</formula>
    </cfRule>
    <cfRule type="cellIs" dxfId="126" priority="4" operator="greaterThan">
      <formula>0</formula>
    </cfRule>
  </conditionalFormatting>
  <conditionalFormatting sqref="E61">
    <cfRule type="cellIs" dxfId="125" priority="11" operator="lessThan">
      <formula>0</formula>
    </cfRule>
    <cfRule type="cellIs" dxfId="124" priority="12" operator="greaterThan">
      <formula>0</formula>
    </cfRule>
  </conditionalFormatting>
  <conditionalFormatting sqref="E74">
    <cfRule type="cellIs" dxfId="123" priority="1" operator="lessThan">
      <formula>0</formula>
    </cfRule>
    <cfRule type="cellIs" dxfId="122" priority="2" operator="greaterThan">
      <formula>0</formula>
    </cfRule>
  </conditionalFormatting>
  <conditionalFormatting sqref="G28">
    <cfRule type="cellIs" dxfId="121" priority="17" operator="lessThan">
      <formula>0</formula>
    </cfRule>
    <cfRule type="cellIs" dxfId="120" priority="18" operator="greaterThan">
      <formula>0</formula>
    </cfRule>
  </conditionalFormatting>
  <conditionalFormatting sqref="H8:H17">
    <cfRule type="cellIs" dxfId="119" priority="24" operator="lessThan">
      <formula>0</formula>
    </cfRule>
    <cfRule type="cellIs" dxfId="118" priority="25" operator="greaterThan">
      <formula>0</formula>
    </cfRule>
  </conditionalFormatting>
  <conditionalFormatting sqref="R14">
    <cfRule type="cellIs" dxfId="117" priority="19" operator="lessThan">
      <formula>0</formula>
    </cfRule>
    <cfRule type="cellIs" dxfId="116" priority="23" operator="greaterThan">
      <formula>0</formula>
    </cfRule>
  </conditionalFormatting>
  <conditionalFormatting sqref="R30">
    <cfRule type="cellIs" dxfId="115" priority="15" operator="greaterThan">
      <formula>0</formula>
    </cfRule>
    <cfRule type="cellIs" dxfId="114" priority="16" operator="lessThan">
      <formula>0</formula>
    </cfRule>
  </conditionalFormatting>
  <conditionalFormatting sqref="V21">
    <cfRule type="cellIs" dxfId="113" priority="20" operator="lessThan">
      <formula>0</formula>
    </cfRule>
    <cfRule type="cellIs" dxfId="112" priority="21" operator="greaterThan">
      <formula>0</formula>
    </cfRule>
  </conditionalFormatting>
  <dataValidations count="2">
    <dataValidation type="decimal" allowBlank="1" showInputMessage="1" showErrorMessage="1" sqref="H58:H59" xr:uid="{9354B94B-F1AF-47BB-B279-0DA2740C2509}">
      <formula1>J21</formula1>
      <formula2>M22</formula2>
    </dataValidation>
    <dataValidation type="decimal" operator="lessThan" allowBlank="1" showInputMessage="1" showErrorMessage="1" sqref="G72" xr:uid="{EC7D51C8-AF0A-4637-8E73-52DD75D37D58}">
      <formula1>J21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CC018-9E06-419F-9F35-69435EE77551}">
  <sheetPr>
    <tabColor theme="2" tint="-0.249977111117893"/>
  </sheetPr>
  <dimension ref="A1:Z71"/>
  <sheetViews>
    <sheetView showGridLines="0" showRowColHeaders="0" zoomScale="110" zoomScaleNormal="110" workbookViewId="0">
      <selection activeCell="C19" sqref="C19"/>
    </sheetView>
  </sheetViews>
  <sheetFormatPr defaultRowHeight="15" x14ac:dyDescent="0.25"/>
  <cols>
    <col min="1" max="1" width="4.42578125" customWidth="1"/>
    <col min="2" max="2" width="22.5703125" customWidth="1"/>
    <col min="3" max="3" width="17.140625" style="7" customWidth="1"/>
    <col min="4" max="4" width="13.28515625" bestFit="1" customWidth="1"/>
    <col min="5" max="5" width="14.5703125" bestFit="1" customWidth="1"/>
    <col min="6" max="6" width="14.140625" bestFit="1" customWidth="1"/>
    <col min="7" max="7" width="12.140625" customWidth="1"/>
    <col min="8" max="8" width="13.42578125" bestFit="1" customWidth="1"/>
    <col min="9" max="9" width="10.7109375" bestFit="1" customWidth="1"/>
    <col min="10" max="10" width="13.42578125" bestFit="1" customWidth="1"/>
    <col min="11" max="11" width="9.5703125" bestFit="1" customWidth="1"/>
    <col min="12" max="12" width="10.85546875" bestFit="1" customWidth="1"/>
    <col min="13" max="13" width="12.28515625" bestFit="1" customWidth="1"/>
    <col min="14" max="14" width="10" bestFit="1" customWidth="1"/>
    <col min="15" max="15" width="2.7109375" customWidth="1"/>
    <col min="16" max="16" width="12.7109375" style="112" bestFit="1" customWidth="1"/>
    <col min="17" max="17" width="16" style="112" customWidth="1"/>
    <col min="18" max="18" width="13.7109375" style="112" bestFit="1" customWidth="1"/>
    <col min="19" max="19" width="1.5703125" style="112" customWidth="1"/>
    <col min="20" max="22" width="15.140625" style="112" customWidth="1"/>
    <col min="23" max="23" width="1.5703125" customWidth="1"/>
    <col min="24" max="26" width="15.85546875" customWidth="1"/>
  </cols>
  <sheetData>
    <row r="1" spans="1:26" ht="15.75" thickBot="1" x14ac:dyDescent="0.3"/>
    <row r="2" spans="1:26" ht="23.25" thickBot="1" x14ac:dyDescent="0.35">
      <c r="A2" s="8"/>
      <c r="B2" s="351" t="s">
        <v>53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3"/>
      <c r="P2" s="334" t="s">
        <v>27</v>
      </c>
      <c r="Q2" s="334"/>
      <c r="R2" s="334"/>
      <c r="S2" s="334"/>
      <c r="T2" s="334"/>
      <c r="U2" s="334"/>
      <c r="V2" s="334"/>
      <c r="X2" s="332" t="s">
        <v>58</v>
      </c>
      <c r="Y2" s="332"/>
      <c r="Z2" s="332"/>
    </row>
    <row r="4" spans="1:26" ht="15" customHeight="1" x14ac:dyDescent="0.25">
      <c r="C4" s="9" t="s">
        <v>25</v>
      </c>
      <c r="D4" s="9" t="s">
        <v>0</v>
      </c>
      <c r="E4" s="9" t="s">
        <v>2</v>
      </c>
      <c r="F4" s="9" t="s">
        <v>1</v>
      </c>
      <c r="G4" s="11"/>
      <c r="P4" s="348" t="s">
        <v>96</v>
      </c>
      <c r="Q4" s="348"/>
      <c r="R4" s="133">
        <f>M22</f>
        <v>0</v>
      </c>
      <c r="T4" s="356" t="s">
        <v>39</v>
      </c>
      <c r="U4" s="356"/>
      <c r="V4" s="142">
        <f>J21</f>
        <v>0</v>
      </c>
      <c r="X4" s="345" t="s">
        <v>113</v>
      </c>
      <c r="Y4" s="345"/>
      <c r="Z4" s="345"/>
    </row>
    <row r="5" spans="1:26" x14ac:dyDescent="0.25">
      <c r="O5" s="10"/>
      <c r="P5" s="134"/>
      <c r="Q5" s="134"/>
      <c r="R5" s="134"/>
      <c r="T5" s="356"/>
      <c r="U5" s="356"/>
      <c r="V5" s="142">
        <f>M22</f>
        <v>0</v>
      </c>
      <c r="X5" s="42"/>
      <c r="Y5" s="42"/>
      <c r="Z5" s="42"/>
    </row>
    <row r="6" spans="1:26" ht="15" customHeight="1" x14ac:dyDescent="0.25">
      <c r="B6" s="132" t="s">
        <v>19</v>
      </c>
      <c r="C6" s="245"/>
      <c r="D6" s="88"/>
      <c r="E6" s="88"/>
      <c r="F6" s="118"/>
      <c r="G6" s="12"/>
      <c r="P6" s="355" t="s">
        <v>99</v>
      </c>
      <c r="Q6" s="355"/>
      <c r="R6" s="135">
        <f>D8</f>
        <v>0</v>
      </c>
      <c r="T6" s="143"/>
      <c r="U6" s="144"/>
      <c r="V6" s="143"/>
      <c r="X6" s="323" t="s">
        <v>120</v>
      </c>
      <c r="Y6" s="323"/>
      <c r="Z6" s="323"/>
    </row>
    <row r="7" spans="1:26" ht="15.75" customHeight="1" thickBot="1" x14ac:dyDescent="0.3">
      <c r="B7" s="11"/>
      <c r="O7" s="8"/>
      <c r="P7" s="136"/>
      <c r="Q7" s="134"/>
      <c r="R7" s="134"/>
      <c r="T7" s="357" t="s">
        <v>106</v>
      </c>
      <c r="U7" s="357"/>
      <c r="V7" s="357"/>
      <c r="X7" s="323"/>
      <c r="Y7" s="323"/>
      <c r="Z7" s="323"/>
    </row>
    <row r="8" spans="1:26" ht="15.75" thickBot="1" x14ac:dyDescent="0.3">
      <c r="B8" s="132" t="s">
        <v>20</v>
      </c>
      <c r="C8" s="245"/>
      <c r="D8" s="118"/>
      <c r="E8" s="118"/>
      <c r="F8" s="12"/>
      <c r="G8" s="12"/>
      <c r="H8" s="4">
        <f>(D8-(F6-E14))*C16</f>
        <v>0</v>
      </c>
      <c r="I8" s="10"/>
      <c r="O8" s="10"/>
      <c r="P8" s="354" t="s">
        <v>97</v>
      </c>
      <c r="Q8" s="354"/>
      <c r="R8" s="354"/>
      <c r="T8" s="144"/>
      <c r="U8" s="144"/>
      <c r="V8" s="144"/>
      <c r="X8" s="323"/>
      <c r="Y8" s="323"/>
      <c r="Z8" s="323"/>
    </row>
    <row r="9" spans="1:26" x14ac:dyDescent="0.25">
      <c r="B9" s="11"/>
      <c r="D9" s="12"/>
      <c r="E9" s="12"/>
      <c r="F9" s="12"/>
      <c r="G9" s="12"/>
      <c r="I9" s="10"/>
      <c r="O9" s="10"/>
      <c r="P9" s="136"/>
      <c r="Q9" s="136"/>
      <c r="R9" s="136"/>
      <c r="T9" s="143" t="s">
        <v>102</v>
      </c>
      <c r="U9" s="144"/>
      <c r="V9" s="145">
        <f>D10</f>
        <v>0</v>
      </c>
    </row>
    <row r="10" spans="1:26" x14ac:dyDescent="0.25">
      <c r="B10" s="132" t="s">
        <v>21</v>
      </c>
      <c r="C10" s="245"/>
      <c r="D10" s="118"/>
      <c r="E10" s="118"/>
      <c r="F10" s="12"/>
      <c r="G10" s="12"/>
      <c r="I10" s="10"/>
      <c r="O10" s="13"/>
      <c r="P10" s="354" t="s">
        <v>98</v>
      </c>
      <c r="Q10" s="354"/>
      <c r="R10" s="354"/>
      <c r="T10" s="143"/>
      <c r="U10" s="144"/>
      <c r="V10" s="144"/>
      <c r="X10" s="325" t="s">
        <v>60</v>
      </c>
      <c r="Y10" s="325"/>
      <c r="Z10" s="325"/>
    </row>
    <row r="11" spans="1:26" x14ac:dyDescent="0.25">
      <c r="B11" s="11"/>
      <c r="D11" s="12"/>
      <c r="E11" s="12"/>
      <c r="F11" s="12"/>
      <c r="G11" s="12"/>
      <c r="H11" s="10"/>
      <c r="I11" s="10"/>
      <c r="O11" s="10"/>
      <c r="P11" s="137"/>
      <c r="Q11" s="136"/>
      <c r="R11" s="136"/>
      <c r="T11" s="358" t="s">
        <v>98</v>
      </c>
      <c r="U11" s="358"/>
      <c r="V11" s="358"/>
      <c r="X11" s="42"/>
      <c r="Y11" s="42"/>
      <c r="Z11" s="42"/>
    </row>
    <row r="12" spans="1:26" x14ac:dyDescent="0.25">
      <c r="B12" s="132" t="s">
        <v>119</v>
      </c>
      <c r="C12" s="245"/>
      <c r="D12" s="118"/>
      <c r="E12" s="118"/>
      <c r="F12" s="12"/>
      <c r="G12" s="12"/>
      <c r="H12" s="10"/>
      <c r="I12" s="10"/>
      <c r="P12" s="347" t="s">
        <v>107</v>
      </c>
      <c r="Q12" s="347"/>
      <c r="R12" s="136">
        <f>R6-F18</f>
        <v>0</v>
      </c>
      <c r="T12" s="145"/>
      <c r="U12" s="144"/>
      <c r="V12" s="144"/>
      <c r="X12" s="324" t="s">
        <v>121</v>
      </c>
      <c r="Y12" s="324"/>
      <c r="Z12" s="324"/>
    </row>
    <row r="13" spans="1:26" ht="15" customHeight="1" x14ac:dyDescent="0.25">
      <c r="B13" s="11"/>
      <c r="D13" s="12"/>
      <c r="E13" s="12"/>
      <c r="F13" s="12"/>
      <c r="G13" s="12"/>
      <c r="I13" s="10"/>
      <c r="P13" s="134"/>
      <c r="Q13" s="136"/>
      <c r="R13" s="134"/>
      <c r="T13" s="359" t="s">
        <v>109</v>
      </c>
      <c r="U13" s="359"/>
      <c r="V13" s="359"/>
      <c r="X13" s="42"/>
      <c r="Y13" s="42"/>
      <c r="Z13" s="42"/>
    </row>
    <row r="14" spans="1:26" x14ac:dyDescent="0.25">
      <c r="B14" s="11"/>
      <c r="D14" s="1" t="s">
        <v>3</v>
      </c>
      <c r="E14" s="2">
        <f>E8+E10-E12*2</f>
        <v>0</v>
      </c>
      <c r="F14" s="12"/>
      <c r="G14" s="12"/>
      <c r="I14" s="10"/>
      <c r="P14" s="348" t="s">
        <v>71</v>
      </c>
      <c r="Q14" s="348"/>
      <c r="R14" s="133">
        <f>R12*C16</f>
        <v>0</v>
      </c>
      <c r="T14" s="359"/>
      <c r="U14" s="359"/>
      <c r="V14" s="359"/>
      <c r="X14" s="324" t="s">
        <v>122</v>
      </c>
      <c r="Y14" s="324"/>
      <c r="Z14" s="324"/>
    </row>
    <row r="15" spans="1:26" x14ac:dyDescent="0.25">
      <c r="B15" s="11"/>
      <c r="D15" s="12"/>
      <c r="E15" s="12"/>
      <c r="F15" s="12"/>
      <c r="G15" s="12"/>
      <c r="I15" s="10"/>
      <c r="Q15" s="138"/>
      <c r="T15" s="144"/>
      <c r="U15" s="144"/>
      <c r="V15" s="144"/>
      <c r="X15" s="42"/>
      <c r="Y15" s="156"/>
      <c r="Z15" s="42"/>
    </row>
    <row r="16" spans="1:26" ht="15.75" customHeight="1" thickBot="1" x14ac:dyDescent="0.3">
      <c r="B16" s="69" t="s">
        <v>9</v>
      </c>
      <c r="C16" s="141"/>
      <c r="E16" s="17" t="s">
        <v>11</v>
      </c>
      <c r="F16" s="73">
        <f>F18*C16</f>
        <v>0</v>
      </c>
      <c r="L16" s="14"/>
      <c r="P16" s="349" t="s">
        <v>72</v>
      </c>
      <c r="Q16" s="349"/>
      <c r="R16" s="147">
        <f>J21</f>
        <v>0</v>
      </c>
      <c r="T16" s="361" t="s">
        <v>110</v>
      </c>
      <c r="U16" s="361"/>
      <c r="V16" s="361"/>
      <c r="X16" s="323" t="s">
        <v>123</v>
      </c>
      <c r="Y16" s="323"/>
      <c r="Z16" s="323"/>
    </row>
    <row r="17" spans="2:26" ht="15.75" thickBot="1" x14ac:dyDescent="0.3">
      <c r="B17" s="15"/>
      <c r="C17"/>
      <c r="F17" s="12"/>
      <c r="G17" s="12"/>
      <c r="H17" s="5">
        <f>R30</f>
        <v>0</v>
      </c>
      <c r="K17" s="10"/>
      <c r="P17" s="149"/>
      <c r="Q17" s="150"/>
      <c r="R17" s="150"/>
      <c r="T17" s="361"/>
      <c r="U17" s="361"/>
      <c r="V17" s="361"/>
      <c r="X17" s="323"/>
      <c r="Y17" s="323"/>
      <c r="Z17" s="323"/>
    </row>
    <row r="18" spans="2:26" x14ac:dyDescent="0.25">
      <c r="B18" s="69" t="s">
        <v>10</v>
      </c>
      <c r="C18" s="140"/>
      <c r="E18" s="17" t="s">
        <v>95</v>
      </c>
      <c r="F18" s="32">
        <f>F6-E14</f>
        <v>0</v>
      </c>
      <c r="P18" s="344" t="s">
        <v>101</v>
      </c>
      <c r="Q18" s="344"/>
      <c r="R18" s="344"/>
      <c r="T18" s="144"/>
      <c r="U18" s="144"/>
      <c r="V18" s="144"/>
      <c r="Y18" s="10"/>
    </row>
    <row r="19" spans="2:26" x14ac:dyDescent="0.25">
      <c r="B19" s="15"/>
      <c r="C19"/>
      <c r="D19" s="16"/>
      <c r="E19" s="17"/>
      <c r="F19" s="16"/>
      <c r="G19" s="16"/>
      <c r="J19" s="18"/>
      <c r="M19" s="10"/>
      <c r="P19" s="149"/>
      <c r="Q19" s="149"/>
      <c r="R19" s="150"/>
      <c r="T19" s="360" t="s">
        <v>77</v>
      </c>
      <c r="U19" s="360"/>
      <c r="V19" s="146">
        <f>ROUND((V5+V4)/2,2)</f>
        <v>0</v>
      </c>
      <c r="Y19" s="10"/>
    </row>
    <row r="20" spans="2:26" ht="15.75" thickBot="1" x14ac:dyDescent="0.3">
      <c r="B20" s="20" t="s">
        <v>105</v>
      </c>
      <c r="C20" s="2">
        <f>E14*C16</f>
        <v>0</v>
      </c>
      <c r="E20" s="37"/>
      <c r="I20" s="19"/>
      <c r="P20" s="344" t="s">
        <v>102</v>
      </c>
      <c r="Q20" s="344"/>
      <c r="R20" s="150">
        <f>-D8</f>
        <v>0</v>
      </c>
      <c r="T20" s="346" t="s">
        <v>104</v>
      </c>
      <c r="U20" s="346"/>
      <c r="V20" s="146">
        <f>(V19-V9)+(V19-F18)</f>
        <v>0</v>
      </c>
      <c r="Y20" s="10"/>
    </row>
    <row r="21" spans="2:26" ht="15.75" thickBot="1" x14ac:dyDescent="0.3">
      <c r="C21"/>
      <c r="E21" s="20"/>
      <c r="F21" s="21"/>
      <c r="G21" s="21"/>
      <c r="J21" s="6">
        <f>D12</f>
        <v>0</v>
      </c>
      <c r="L21" s="10"/>
      <c r="P21" s="149"/>
      <c r="Q21" s="149"/>
      <c r="R21" s="150"/>
      <c r="T21" s="346" t="s">
        <v>71</v>
      </c>
      <c r="U21" s="346"/>
      <c r="V21" s="146">
        <f>V20*C16</f>
        <v>0</v>
      </c>
    </row>
    <row r="22" spans="2:26" ht="15.75" thickBot="1" x14ac:dyDescent="0.3">
      <c r="C22" s="130"/>
      <c r="E22" s="20"/>
      <c r="F22" s="21"/>
      <c r="G22" s="21"/>
      <c r="L22" s="10"/>
      <c r="M22" s="6">
        <f>D8</f>
        <v>0</v>
      </c>
      <c r="P22" s="344" t="s">
        <v>103</v>
      </c>
      <c r="Q22" s="344"/>
      <c r="R22" s="150">
        <f>D12</f>
        <v>0</v>
      </c>
    </row>
    <row r="23" spans="2:26" x14ac:dyDescent="0.25">
      <c r="B23" s="17" t="s">
        <v>111</v>
      </c>
      <c r="C23" s="151" t="e">
        <f>H8/F16</f>
        <v>#DIV/0!</v>
      </c>
      <c r="E23" s="126"/>
      <c r="F23" s="127"/>
      <c r="G23" s="127"/>
      <c r="H23" s="120"/>
      <c r="I23" s="120"/>
      <c r="J23" s="120"/>
      <c r="K23" s="120"/>
      <c r="L23" s="121"/>
      <c r="M23" s="120"/>
      <c r="N23" s="120"/>
      <c r="O23" s="120"/>
      <c r="P23" s="149"/>
      <c r="Q23" s="149"/>
      <c r="R23" s="149"/>
      <c r="V23" s="138"/>
    </row>
    <row r="24" spans="2:26" ht="22.5" x14ac:dyDescent="0.3">
      <c r="C24" s="131"/>
      <c r="E24" s="128"/>
      <c r="F24" s="120"/>
      <c r="G24" s="120"/>
      <c r="H24" s="332" t="s">
        <v>94</v>
      </c>
      <c r="I24" s="332"/>
      <c r="J24" s="332"/>
      <c r="K24" s="122"/>
      <c r="L24" s="120"/>
      <c r="M24" s="123"/>
      <c r="N24" s="120"/>
      <c r="O24" s="120"/>
      <c r="P24" s="344" t="s">
        <v>108</v>
      </c>
      <c r="Q24" s="344"/>
      <c r="R24" s="150">
        <f>R20+R22</f>
        <v>0</v>
      </c>
    </row>
    <row r="25" spans="2:26" ht="17.25" customHeight="1" x14ac:dyDescent="0.25">
      <c r="B25" s="17" t="s">
        <v>112</v>
      </c>
      <c r="C25" s="151" t="e">
        <f>H17/F16</f>
        <v>#DIV/0!</v>
      </c>
      <c r="E25" s="124"/>
      <c r="F25" s="128"/>
      <c r="G25" s="128"/>
      <c r="K25" s="120"/>
      <c r="L25" s="124"/>
      <c r="M25" s="121"/>
      <c r="N25" s="121"/>
      <c r="O25" s="125"/>
      <c r="P25" s="149"/>
      <c r="Q25" s="149"/>
      <c r="R25" s="149"/>
      <c r="V25" s="155"/>
    </row>
    <row r="26" spans="2:26" x14ac:dyDescent="0.25">
      <c r="B26" s="11"/>
      <c r="C26" s="86"/>
      <c r="E26" s="120"/>
      <c r="F26" s="120"/>
      <c r="G26" s="120"/>
      <c r="H26" s="350" t="s">
        <v>28</v>
      </c>
      <c r="I26" s="350"/>
      <c r="J26" s="118"/>
      <c r="K26" s="124"/>
      <c r="L26" s="152"/>
      <c r="M26" s="121"/>
      <c r="N26" s="120"/>
      <c r="O26" s="120"/>
      <c r="P26" s="344" t="s">
        <v>30</v>
      </c>
      <c r="Q26" s="344"/>
      <c r="R26" s="150">
        <f>F18</f>
        <v>0</v>
      </c>
      <c r="U26" s="138"/>
      <c r="V26" s="155"/>
    </row>
    <row r="27" spans="2:26" x14ac:dyDescent="0.25">
      <c r="E27" s="120"/>
      <c r="F27" s="120"/>
      <c r="G27" s="120"/>
      <c r="K27" s="124"/>
      <c r="L27" s="154"/>
      <c r="M27" s="121"/>
      <c r="N27" s="120"/>
      <c r="O27" s="120"/>
      <c r="P27" s="149"/>
      <c r="Q27" s="149"/>
      <c r="R27" s="149"/>
      <c r="T27" s="138"/>
      <c r="U27" s="138"/>
      <c r="V27" s="139"/>
    </row>
    <row r="28" spans="2:26" x14ac:dyDescent="0.25">
      <c r="B28" s="11"/>
      <c r="C28" s="87"/>
      <c r="E28" s="120"/>
      <c r="F28" s="120"/>
      <c r="G28" s="120"/>
      <c r="H28" s="350" t="s">
        <v>71</v>
      </c>
      <c r="I28" s="350"/>
      <c r="J28" s="119">
        <f>IF((J26&lt;J21),H17,IF(AND((J26&gt;J21),(J26&lt;M22)),((J26-M22)+(J26-F18))*C16,H8))</f>
        <v>0</v>
      </c>
      <c r="K28" s="124"/>
      <c r="L28" s="153"/>
      <c r="M28" s="121"/>
      <c r="N28" s="120"/>
      <c r="O28" s="120"/>
      <c r="P28" s="344" t="s">
        <v>104</v>
      </c>
      <c r="Q28" s="344"/>
      <c r="R28" s="150">
        <f>R24+(R22-R26)</f>
        <v>0</v>
      </c>
      <c r="U28" s="138"/>
      <c r="V28" s="139"/>
    </row>
    <row r="29" spans="2:26" ht="15" customHeight="1" x14ac:dyDescent="0.25">
      <c r="B29" s="314" t="s">
        <v>64</v>
      </c>
      <c r="C29" s="314"/>
      <c r="D29" s="314"/>
      <c r="E29" s="314"/>
      <c r="F29" s="121"/>
      <c r="G29" s="121"/>
      <c r="K29" s="120"/>
      <c r="L29" s="121"/>
      <c r="M29" s="120"/>
      <c r="N29" s="120"/>
      <c r="O29" s="120"/>
      <c r="P29" s="149"/>
      <c r="Q29" s="149"/>
      <c r="R29" s="149"/>
      <c r="V29" s="155"/>
    </row>
    <row r="30" spans="2:26" x14ac:dyDescent="0.25">
      <c r="B30" s="314"/>
      <c r="C30" s="314"/>
      <c r="D30" s="314"/>
      <c r="E30" s="314"/>
      <c r="F30" s="120"/>
      <c r="G30" s="120"/>
      <c r="H30" s="120"/>
      <c r="I30" s="120"/>
      <c r="J30" s="121"/>
      <c r="K30" s="120"/>
      <c r="L30" s="121"/>
      <c r="M30" s="121"/>
      <c r="N30" s="120"/>
      <c r="O30" s="120"/>
      <c r="P30" s="349" t="s">
        <v>71</v>
      </c>
      <c r="Q30" s="349"/>
      <c r="R30" s="148">
        <f>R28*C16</f>
        <v>0</v>
      </c>
    </row>
    <row r="31" spans="2:26" ht="15" customHeight="1" x14ac:dyDescent="0.25">
      <c r="E31" s="120"/>
      <c r="F31" s="120"/>
      <c r="G31" s="120"/>
      <c r="H31" s="120"/>
      <c r="I31" s="120"/>
      <c r="J31" s="120"/>
      <c r="K31" s="120"/>
      <c r="L31" s="121"/>
      <c r="M31" s="121"/>
      <c r="N31" s="120"/>
      <c r="O31" s="120"/>
    </row>
    <row r="32" spans="2:26" x14ac:dyDescent="0.25">
      <c r="C32" s="26"/>
      <c r="E32" s="120"/>
      <c r="F32" s="120"/>
      <c r="G32" s="120"/>
      <c r="H32" s="169"/>
      <c r="I32" s="120"/>
      <c r="J32" s="120"/>
      <c r="K32" s="120"/>
      <c r="L32" s="121"/>
      <c r="M32" s="121"/>
      <c r="N32" s="120"/>
      <c r="O32" s="120"/>
    </row>
    <row r="33" spans="2:15" ht="27" x14ac:dyDescent="0.4">
      <c r="B33" s="311" t="s">
        <v>142</v>
      </c>
      <c r="C33" s="311"/>
      <c r="D33" s="311"/>
      <c r="E33" s="311"/>
      <c r="F33" s="121"/>
      <c r="G33" s="168"/>
      <c r="H33" s="170"/>
      <c r="I33" s="120"/>
      <c r="J33" s="120"/>
      <c r="K33" s="120"/>
      <c r="L33" s="120"/>
      <c r="M33" s="121"/>
      <c r="N33" s="120"/>
      <c r="O33" s="120"/>
    </row>
    <row r="34" spans="2:15" x14ac:dyDescent="0.25">
      <c r="B34" s="120"/>
      <c r="C34" s="129"/>
      <c r="D34" s="120"/>
      <c r="E34" s="120"/>
      <c r="F34" s="121"/>
      <c r="G34" s="120"/>
      <c r="H34" s="121"/>
      <c r="I34" s="121"/>
      <c r="J34" s="120"/>
      <c r="K34" s="120"/>
      <c r="L34" s="120"/>
      <c r="M34" s="120"/>
      <c r="N34" s="120"/>
      <c r="O34" s="120"/>
    </row>
    <row r="35" spans="2:15" x14ac:dyDescent="0.25">
      <c r="B35" s="175" t="s">
        <v>130</v>
      </c>
      <c r="C35" s="176" t="s">
        <v>131</v>
      </c>
      <c r="D35" s="175" t="s">
        <v>132</v>
      </c>
      <c r="E35" s="175" t="s">
        <v>133</v>
      </c>
      <c r="F35" s="167"/>
      <c r="G35" s="168"/>
      <c r="H35" s="121"/>
      <c r="I35" s="121"/>
      <c r="J35" s="120"/>
      <c r="K35" s="120"/>
      <c r="L35" s="120"/>
      <c r="M35" s="120"/>
      <c r="N35" s="120"/>
      <c r="O35" s="120"/>
    </row>
    <row r="36" spans="2:15" x14ac:dyDescent="0.25">
      <c r="B36" s="120"/>
      <c r="C36" s="129"/>
      <c r="D36" s="120"/>
      <c r="E36" s="120"/>
      <c r="G36" s="171"/>
      <c r="H36" s="121"/>
      <c r="I36" s="10"/>
    </row>
    <row r="37" spans="2:15" x14ac:dyDescent="0.25">
      <c r="B37" s="238"/>
      <c r="C37" s="239"/>
      <c r="D37" s="240"/>
      <c r="E37" s="241"/>
      <c r="F37" s="120"/>
      <c r="G37" s="120"/>
      <c r="H37" s="121"/>
      <c r="I37" s="121"/>
      <c r="J37" s="120"/>
      <c r="K37" s="120"/>
      <c r="L37" s="120"/>
      <c r="M37" s="120"/>
      <c r="N37" s="120"/>
      <c r="O37" s="120"/>
    </row>
    <row r="38" spans="2:15" x14ac:dyDescent="0.25">
      <c r="B38" s="180" t="s">
        <v>136</v>
      </c>
      <c r="C38" s="181">
        <f>F6*C16</f>
        <v>0</v>
      </c>
      <c r="D38" s="182"/>
      <c r="E38" s="183">
        <f t="shared" ref="E38:E42" si="0">E37+D38-C38</f>
        <v>0</v>
      </c>
      <c r="F38" s="120"/>
      <c r="G38" s="120"/>
      <c r="H38" s="121"/>
      <c r="I38" s="120"/>
      <c r="J38" s="120"/>
      <c r="K38" s="120"/>
      <c r="L38" s="120"/>
      <c r="M38" s="120"/>
      <c r="N38" s="120"/>
      <c r="O38" s="120"/>
    </row>
    <row r="39" spans="2:15" x14ac:dyDescent="0.25">
      <c r="B39" s="177" t="s">
        <v>137</v>
      </c>
      <c r="C39" s="178"/>
      <c r="D39" s="179">
        <f>E8*C16</f>
        <v>0</v>
      </c>
      <c r="E39" s="179">
        <f t="shared" si="0"/>
        <v>0</v>
      </c>
      <c r="F39" s="120"/>
      <c r="G39" s="120"/>
      <c r="H39" s="120"/>
      <c r="I39" s="120"/>
      <c r="J39" s="120"/>
      <c r="K39" s="120"/>
      <c r="L39" s="120"/>
      <c r="M39" s="120"/>
      <c r="N39" s="120"/>
      <c r="O39" s="120"/>
    </row>
    <row r="40" spans="2:15" x14ac:dyDescent="0.25">
      <c r="B40" s="180" t="s">
        <v>138</v>
      </c>
      <c r="C40" s="184"/>
      <c r="D40" s="185">
        <f>E10*C16</f>
        <v>0</v>
      </c>
      <c r="E40" s="183">
        <f t="shared" si="0"/>
        <v>0</v>
      </c>
      <c r="F40" s="120"/>
      <c r="G40" s="120"/>
      <c r="H40" s="120"/>
      <c r="I40" s="120"/>
      <c r="J40" s="120"/>
      <c r="K40" s="120"/>
      <c r="L40" s="120"/>
      <c r="M40" s="120"/>
      <c r="N40" s="120"/>
      <c r="O40" s="120"/>
    </row>
    <row r="41" spans="2:15" x14ac:dyDescent="0.25">
      <c r="B41" s="177" t="s">
        <v>139</v>
      </c>
      <c r="C41" s="186">
        <f>E12*2*C16</f>
        <v>0</v>
      </c>
      <c r="D41" s="179"/>
      <c r="E41" s="179">
        <f t="shared" si="0"/>
        <v>0</v>
      </c>
      <c r="F41" s="120"/>
      <c r="G41" s="120"/>
      <c r="H41" s="120"/>
      <c r="I41" s="120"/>
      <c r="J41" s="120"/>
      <c r="K41" s="120"/>
      <c r="L41" s="120"/>
      <c r="M41" s="120"/>
      <c r="N41" s="120"/>
      <c r="O41" s="120"/>
    </row>
    <row r="42" spans="2:15" x14ac:dyDescent="0.25">
      <c r="B42" s="180" t="s">
        <v>161</v>
      </c>
      <c r="C42" s="181"/>
      <c r="D42" s="185">
        <f>D8*C16</f>
        <v>0</v>
      </c>
      <c r="E42" s="200">
        <f t="shared" si="0"/>
        <v>0</v>
      </c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2:15" x14ac:dyDescent="0.25">
      <c r="B43" s="238"/>
      <c r="C43" s="239"/>
      <c r="D43" s="240"/>
      <c r="E43" s="241"/>
      <c r="F43" s="120"/>
      <c r="G43" s="120"/>
      <c r="H43" s="120"/>
      <c r="I43" s="120"/>
      <c r="J43" s="120"/>
      <c r="K43" s="120"/>
      <c r="L43" s="120"/>
      <c r="M43" s="120"/>
      <c r="N43" s="120"/>
      <c r="O43" s="120"/>
    </row>
    <row r="44" spans="2:15" x14ac:dyDescent="0.25">
      <c r="B44" s="201"/>
      <c r="C44" s="202"/>
      <c r="D44" s="203"/>
      <c r="E44" s="203"/>
      <c r="F44" s="120"/>
      <c r="G44" s="120"/>
      <c r="H44" s="120"/>
      <c r="I44" s="120"/>
      <c r="J44" s="120"/>
      <c r="K44" s="120"/>
      <c r="L44" s="120"/>
      <c r="M44" s="120"/>
      <c r="N44" s="120"/>
      <c r="O44" s="120"/>
    </row>
    <row r="45" spans="2:15" ht="22.5" x14ac:dyDescent="0.3">
      <c r="B45" s="336" t="s">
        <v>157</v>
      </c>
      <c r="C45" s="336"/>
      <c r="D45" s="336"/>
      <c r="E45" s="336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2:15" x14ac:dyDescent="0.25">
      <c r="B46" s="120"/>
      <c r="C46" s="129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2:15" x14ac:dyDescent="0.25">
      <c r="B47" s="175" t="s">
        <v>130</v>
      </c>
      <c r="C47" s="176" t="s">
        <v>131</v>
      </c>
      <c r="D47" s="175" t="s">
        <v>132</v>
      </c>
      <c r="E47" s="175" t="s">
        <v>133</v>
      </c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2:15" x14ac:dyDescent="0.25">
      <c r="B48" s="120"/>
      <c r="C48" s="129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</row>
    <row r="49" spans="2:15" x14ac:dyDescent="0.25">
      <c r="B49" s="238"/>
      <c r="C49" s="239"/>
      <c r="D49" s="240"/>
      <c r="E49" s="241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2:15" x14ac:dyDescent="0.25">
      <c r="B50" s="180" t="s">
        <v>136</v>
      </c>
      <c r="C50" s="181">
        <f>C38</f>
        <v>0</v>
      </c>
      <c r="D50" s="182"/>
      <c r="E50" s="183">
        <f t="shared" ref="E50:E56" si="1">E49+D50-C50</f>
        <v>0</v>
      </c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2:15" x14ac:dyDescent="0.25">
      <c r="B51" s="177" t="s">
        <v>137</v>
      </c>
      <c r="C51" s="178"/>
      <c r="D51" s="179">
        <f>D39</f>
        <v>0</v>
      </c>
      <c r="E51" s="179">
        <f t="shared" si="1"/>
        <v>0</v>
      </c>
      <c r="F51" s="120"/>
      <c r="G51" s="120"/>
      <c r="H51" s="120"/>
      <c r="I51" s="120"/>
      <c r="J51" s="120"/>
      <c r="K51" s="120"/>
      <c r="L51" s="120"/>
      <c r="M51" s="120"/>
      <c r="N51" s="120"/>
      <c r="O51" s="120"/>
    </row>
    <row r="52" spans="2:15" x14ac:dyDescent="0.25">
      <c r="B52" s="180" t="s">
        <v>138</v>
      </c>
      <c r="C52" s="184"/>
      <c r="D52" s="185">
        <f>D40</f>
        <v>0</v>
      </c>
      <c r="E52" s="183">
        <f t="shared" si="1"/>
        <v>0</v>
      </c>
      <c r="F52" s="120"/>
      <c r="G52" s="120"/>
      <c r="H52" s="120"/>
      <c r="I52" s="120"/>
      <c r="J52" s="120"/>
      <c r="K52" s="120"/>
      <c r="L52" s="120"/>
      <c r="M52" s="120"/>
      <c r="N52" s="120"/>
      <c r="O52" s="120"/>
    </row>
    <row r="53" spans="2:15" x14ac:dyDescent="0.25">
      <c r="B53" s="177" t="s">
        <v>139</v>
      </c>
      <c r="C53" s="186">
        <f>C41</f>
        <v>0</v>
      </c>
      <c r="D53" s="179"/>
      <c r="E53" s="179">
        <f t="shared" si="1"/>
        <v>0</v>
      </c>
      <c r="F53" s="120"/>
      <c r="G53" s="120"/>
      <c r="H53" s="120"/>
      <c r="I53" s="120"/>
      <c r="J53" s="120"/>
      <c r="K53" s="120"/>
      <c r="L53" s="120"/>
      <c r="M53" s="120"/>
      <c r="N53" s="120"/>
      <c r="O53" s="120"/>
    </row>
    <row r="54" spans="2:15" x14ac:dyDescent="0.25">
      <c r="B54" s="180" t="s">
        <v>160</v>
      </c>
      <c r="C54" s="181">
        <f>D10*C16</f>
        <v>0</v>
      </c>
      <c r="D54" s="185"/>
      <c r="E54" s="183">
        <f t="shared" si="1"/>
        <v>0</v>
      </c>
      <c r="F54" s="120"/>
      <c r="G54" s="120"/>
      <c r="H54" s="120"/>
      <c r="I54" s="120"/>
      <c r="J54" s="120"/>
      <c r="K54" s="120"/>
      <c r="L54" s="120"/>
      <c r="M54" s="120"/>
      <c r="N54" s="120"/>
      <c r="O54" s="120"/>
    </row>
    <row r="55" spans="2:15" x14ac:dyDescent="0.25">
      <c r="B55" s="177" t="s">
        <v>146</v>
      </c>
      <c r="C55" s="188"/>
      <c r="D55" s="189">
        <f>H55*C16</f>
        <v>0</v>
      </c>
      <c r="E55" s="179">
        <f t="shared" si="1"/>
        <v>0</v>
      </c>
      <c r="F55" s="362" t="s">
        <v>151</v>
      </c>
      <c r="G55" s="204">
        <f>J21</f>
        <v>0</v>
      </c>
      <c r="H55" s="363">
        <v>8.23</v>
      </c>
      <c r="I55" s="120"/>
      <c r="J55" s="120"/>
      <c r="K55" s="120"/>
      <c r="L55" s="120"/>
      <c r="M55" s="120"/>
      <c r="N55" s="120"/>
      <c r="O55" s="120"/>
    </row>
    <row r="56" spans="2:15" x14ac:dyDescent="0.25">
      <c r="B56" s="205" t="s">
        <v>158</v>
      </c>
      <c r="C56" s="206"/>
      <c r="D56" s="207">
        <f>D55</f>
        <v>0</v>
      </c>
      <c r="E56" s="200">
        <f t="shared" si="1"/>
        <v>0</v>
      </c>
      <c r="F56" s="362"/>
      <c r="G56" s="204">
        <f>M22</f>
        <v>0</v>
      </c>
      <c r="H56" s="363"/>
      <c r="I56" s="120"/>
      <c r="J56" s="120"/>
      <c r="K56" s="120"/>
      <c r="L56" s="120"/>
      <c r="M56" s="120"/>
      <c r="N56" s="120"/>
      <c r="O56" s="120"/>
    </row>
    <row r="57" spans="2:15" x14ac:dyDescent="0.25">
      <c r="B57" s="238"/>
      <c r="C57" s="239"/>
      <c r="D57" s="240"/>
      <c r="E57" s="241"/>
      <c r="F57" s="120"/>
      <c r="G57" s="120"/>
      <c r="H57" s="120"/>
      <c r="I57" s="120"/>
      <c r="J57" s="120"/>
      <c r="K57" s="120"/>
      <c r="L57" s="120"/>
      <c r="M57" s="120"/>
      <c r="N57" s="120"/>
      <c r="O57" s="120"/>
    </row>
    <row r="59" spans="2:15" ht="18" x14ac:dyDescent="0.25">
      <c r="B59" s="340" t="s">
        <v>159</v>
      </c>
      <c r="C59" s="340"/>
      <c r="D59" s="340"/>
      <c r="E59" s="340"/>
      <c r="F59" s="120"/>
      <c r="G59" s="120"/>
      <c r="H59" s="120"/>
    </row>
    <row r="60" spans="2:15" x14ac:dyDescent="0.25">
      <c r="B60" s="120"/>
      <c r="C60" s="129"/>
      <c r="D60" s="120"/>
      <c r="E60" s="120"/>
      <c r="F60" s="120"/>
      <c r="G60" s="120"/>
      <c r="H60" s="120"/>
    </row>
    <row r="61" spans="2:15" x14ac:dyDescent="0.25">
      <c r="B61" s="175" t="s">
        <v>130</v>
      </c>
      <c r="C61" s="176" t="s">
        <v>131</v>
      </c>
      <c r="D61" s="175" t="s">
        <v>132</v>
      </c>
      <c r="E61" s="175" t="s">
        <v>133</v>
      </c>
      <c r="F61" s="120"/>
      <c r="G61" s="120"/>
      <c r="H61" s="120"/>
    </row>
    <row r="62" spans="2:15" x14ac:dyDescent="0.25">
      <c r="B62" s="120"/>
      <c r="C62" s="129"/>
      <c r="D62" s="120"/>
      <c r="E62" s="120"/>
      <c r="F62" s="120"/>
      <c r="G62" s="120"/>
      <c r="H62" s="120"/>
    </row>
    <row r="63" spans="2:15" x14ac:dyDescent="0.25">
      <c r="B63" s="238"/>
      <c r="C63" s="239"/>
      <c r="D63" s="240"/>
      <c r="E63" s="241"/>
      <c r="F63" s="120"/>
      <c r="G63" s="120"/>
      <c r="H63" s="120"/>
    </row>
    <row r="64" spans="2:15" x14ac:dyDescent="0.25">
      <c r="B64" s="180" t="s">
        <v>136</v>
      </c>
      <c r="C64" s="181">
        <f>C50</f>
        <v>0</v>
      </c>
      <c r="D64" s="182"/>
      <c r="E64" s="183">
        <f t="shared" ref="E64:E69" si="2">E63+D64-C64</f>
        <v>0</v>
      </c>
      <c r="F64" s="120"/>
      <c r="G64" s="120"/>
      <c r="H64" s="120"/>
    </row>
    <row r="65" spans="2:8" x14ac:dyDescent="0.25">
      <c r="B65" s="177" t="s">
        <v>137</v>
      </c>
      <c r="C65" s="178"/>
      <c r="D65" s="179">
        <f>D51</f>
        <v>0</v>
      </c>
      <c r="E65" s="179">
        <f t="shared" si="2"/>
        <v>0</v>
      </c>
      <c r="F65" s="120"/>
      <c r="G65" s="120"/>
      <c r="H65" s="120"/>
    </row>
    <row r="66" spans="2:8" x14ac:dyDescent="0.25">
      <c r="B66" s="180" t="s">
        <v>138</v>
      </c>
      <c r="C66" s="184"/>
      <c r="D66" s="185">
        <f>D52</f>
        <v>0</v>
      </c>
      <c r="E66" s="183">
        <f t="shared" si="2"/>
        <v>0</v>
      </c>
      <c r="F66" s="120"/>
      <c r="G66" s="120"/>
      <c r="H66" s="120"/>
    </row>
    <row r="67" spans="2:8" x14ac:dyDescent="0.25">
      <c r="B67" s="177" t="s">
        <v>174</v>
      </c>
      <c r="C67" s="186">
        <f>C53</f>
        <v>0</v>
      </c>
      <c r="D67" s="179"/>
      <c r="E67" s="179">
        <f t="shared" si="2"/>
        <v>0</v>
      </c>
      <c r="F67" s="120"/>
      <c r="G67" s="120"/>
      <c r="H67" s="120"/>
    </row>
    <row r="68" spans="2:8" x14ac:dyDescent="0.25">
      <c r="B68" s="180" t="s">
        <v>160</v>
      </c>
      <c r="C68" s="181">
        <f>C54</f>
        <v>0</v>
      </c>
      <c r="D68" s="185"/>
      <c r="E68" s="183">
        <f t="shared" si="2"/>
        <v>0</v>
      </c>
      <c r="F68" s="120"/>
      <c r="G68" s="120"/>
      <c r="H68" s="120"/>
    </row>
    <row r="69" spans="2:8" x14ac:dyDescent="0.25">
      <c r="B69" s="177" t="s">
        <v>173</v>
      </c>
      <c r="C69" s="188"/>
      <c r="D69" s="189">
        <f>D12*2*C16</f>
        <v>0</v>
      </c>
      <c r="E69" s="200">
        <f t="shared" si="2"/>
        <v>0</v>
      </c>
      <c r="F69" s="212"/>
      <c r="G69" s="71"/>
      <c r="H69" s="213"/>
    </row>
    <row r="70" spans="2:8" x14ac:dyDescent="0.25">
      <c r="B70" s="238"/>
      <c r="C70" s="239"/>
      <c r="D70" s="240"/>
      <c r="E70" s="241"/>
      <c r="F70" s="212"/>
      <c r="G70" s="71"/>
      <c r="H70" s="213"/>
    </row>
    <row r="71" spans="2:8" x14ac:dyDescent="0.25">
      <c r="B71" s="201"/>
      <c r="C71" s="210"/>
      <c r="D71" s="211"/>
      <c r="E71" s="203"/>
      <c r="F71" s="120"/>
      <c r="G71" s="120"/>
      <c r="H71" s="120"/>
    </row>
  </sheetData>
  <sheetProtection sheet="1" objects="1" scenarios="1"/>
  <mergeCells count="40">
    <mergeCell ref="B2:N2"/>
    <mergeCell ref="P2:V2"/>
    <mergeCell ref="X2:Z2"/>
    <mergeCell ref="P4:Q4"/>
    <mergeCell ref="T4:U5"/>
    <mergeCell ref="X4:Z4"/>
    <mergeCell ref="T11:V11"/>
    <mergeCell ref="P12:Q12"/>
    <mergeCell ref="T13:V14"/>
    <mergeCell ref="P14:Q14"/>
    <mergeCell ref="P6:Q6"/>
    <mergeCell ref="T7:V7"/>
    <mergeCell ref="P8:R8"/>
    <mergeCell ref="P10:R10"/>
    <mergeCell ref="B29:E30"/>
    <mergeCell ref="P16:Q16"/>
    <mergeCell ref="T16:V17"/>
    <mergeCell ref="P18:R18"/>
    <mergeCell ref="T19:U19"/>
    <mergeCell ref="P20:Q20"/>
    <mergeCell ref="T20:U20"/>
    <mergeCell ref="H28:I28"/>
    <mergeCell ref="P28:Q28"/>
    <mergeCell ref="P30:Q30"/>
    <mergeCell ref="T21:U21"/>
    <mergeCell ref="P22:Q22"/>
    <mergeCell ref="H24:J24"/>
    <mergeCell ref="P24:Q24"/>
    <mergeCell ref="H26:I26"/>
    <mergeCell ref="P26:Q26"/>
    <mergeCell ref="X6:Z8"/>
    <mergeCell ref="X12:Z12"/>
    <mergeCell ref="X14:Z14"/>
    <mergeCell ref="X16:Z17"/>
    <mergeCell ref="X10:Z10"/>
    <mergeCell ref="B33:E33"/>
    <mergeCell ref="B45:E45"/>
    <mergeCell ref="F55:F56"/>
    <mergeCell ref="H55:H56"/>
    <mergeCell ref="B59:E59"/>
  </mergeCells>
  <conditionalFormatting sqref="E42">
    <cfRule type="cellIs" dxfId="111" priority="5" operator="lessThan">
      <formula>0</formula>
    </cfRule>
    <cfRule type="cellIs" dxfId="110" priority="6" operator="greaterThan">
      <formula>0</formula>
    </cfRule>
  </conditionalFormatting>
  <conditionalFormatting sqref="E44">
    <cfRule type="cellIs" dxfId="109" priority="13" operator="lessThan">
      <formula>0</formula>
    </cfRule>
    <cfRule type="cellIs" dxfId="108" priority="14" operator="greaterThan">
      <formula>0</formula>
    </cfRule>
  </conditionalFormatting>
  <conditionalFormatting sqref="E56">
    <cfRule type="cellIs" dxfId="107" priority="3" operator="lessThan">
      <formula>0</formula>
    </cfRule>
    <cfRule type="cellIs" dxfId="106" priority="4" operator="greaterThan">
      <formula>0</formula>
    </cfRule>
  </conditionalFormatting>
  <conditionalFormatting sqref="E69">
    <cfRule type="cellIs" dxfId="105" priority="1" operator="lessThan">
      <formula>0</formula>
    </cfRule>
    <cfRule type="cellIs" dxfId="104" priority="2" operator="greaterThan">
      <formula>0</formula>
    </cfRule>
  </conditionalFormatting>
  <conditionalFormatting sqref="E71">
    <cfRule type="cellIs" dxfId="103" priority="7" operator="lessThan">
      <formula>0</formula>
    </cfRule>
    <cfRule type="cellIs" dxfId="102" priority="8" operator="greaterThan">
      <formula>0</formula>
    </cfRule>
  </conditionalFormatting>
  <conditionalFormatting sqref="H8:H17">
    <cfRule type="cellIs" dxfId="101" priority="22" operator="lessThan">
      <formula>0</formula>
    </cfRule>
    <cfRule type="cellIs" dxfId="100" priority="23" operator="greaterThan">
      <formula>0</formula>
    </cfRule>
  </conditionalFormatting>
  <conditionalFormatting sqref="J28">
    <cfRule type="cellIs" dxfId="99" priority="15" operator="lessThan">
      <formula>0</formula>
    </cfRule>
    <cfRule type="cellIs" dxfId="98" priority="16" operator="greaterThan">
      <formula>0</formula>
    </cfRule>
  </conditionalFormatting>
  <conditionalFormatting sqref="R14">
    <cfRule type="cellIs" dxfId="97" priority="17" operator="lessThan">
      <formula>0</formula>
    </cfRule>
    <cfRule type="cellIs" dxfId="96" priority="21" operator="greaterThan">
      <formula>0</formula>
    </cfRule>
  </conditionalFormatting>
  <conditionalFormatting sqref="R30">
    <cfRule type="cellIs" dxfId="95" priority="20" operator="greaterThan">
      <formula>0</formula>
    </cfRule>
    <cfRule type="cellIs" dxfId="94" priority="24" operator="lessThan">
      <formula>0</formula>
    </cfRule>
  </conditionalFormatting>
  <conditionalFormatting sqref="V21">
    <cfRule type="cellIs" dxfId="93" priority="18" operator="lessThan">
      <formula>0</formula>
    </cfRule>
    <cfRule type="cellIs" dxfId="92" priority="19" operator="greaterThan">
      <formula>0</formula>
    </cfRule>
  </conditionalFormatting>
  <dataValidations count="1">
    <dataValidation type="decimal" allowBlank="1" showInputMessage="1" showErrorMessage="1" sqref="H55 H69" xr:uid="{D295A750-05E4-48C5-8390-23450E0DB45D}">
      <formula1>G55</formula1>
      <formula2>G56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1E3CE-3816-4F35-A292-A93D0C34946C}">
  <sheetPr>
    <tabColor rgb="FF0070C0"/>
  </sheetPr>
  <dimension ref="A1:Y59"/>
  <sheetViews>
    <sheetView showGridLines="0" showRowColHeaders="0" zoomScale="110" zoomScaleNormal="110" workbookViewId="0">
      <selection activeCell="M43" sqref="M43"/>
    </sheetView>
  </sheetViews>
  <sheetFormatPr defaultRowHeight="15" x14ac:dyDescent="0.25"/>
  <cols>
    <col min="1" max="1" width="4.42578125" customWidth="1"/>
    <col min="2" max="2" width="19.85546875" customWidth="1"/>
    <col min="3" max="3" width="17.140625" style="7" customWidth="1"/>
    <col min="4" max="4" width="13.28515625" bestFit="1" customWidth="1"/>
    <col min="5" max="5" width="12" customWidth="1"/>
    <col min="6" max="7" width="12.140625" bestFit="1" customWidth="1"/>
    <col min="8" max="8" width="9.7109375" bestFit="1" customWidth="1"/>
    <col min="9" max="9" width="12.28515625" bestFit="1" customWidth="1"/>
    <col min="10" max="10" width="9.5703125" bestFit="1" customWidth="1"/>
    <col min="11" max="11" width="10.7109375" bestFit="1" customWidth="1"/>
    <col min="12" max="12" width="9.5703125" bestFit="1" customWidth="1"/>
    <col min="14" max="14" width="4.140625" customWidth="1"/>
    <col min="15" max="15" width="12.7109375" bestFit="1" customWidth="1"/>
    <col min="16" max="16" width="16.7109375" customWidth="1"/>
    <col min="17" max="17" width="13.7109375" bestFit="1" customWidth="1"/>
    <col min="18" max="18" width="1.5703125" customWidth="1"/>
    <col min="19" max="20" width="15.140625" customWidth="1"/>
    <col min="21" max="21" width="13.42578125" customWidth="1"/>
    <col min="22" max="22" width="1.5703125" customWidth="1"/>
    <col min="23" max="25" width="17" customWidth="1"/>
  </cols>
  <sheetData>
    <row r="1" spans="1:25" ht="15.75" thickBot="1" x14ac:dyDescent="0.3"/>
    <row r="2" spans="1:25" ht="23.25" thickBot="1" x14ac:dyDescent="0.35">
      <c r="A2" s="8"/>
      <c r="B2" s="351" t="s">
        <v>53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3"/>
      <c r="O2" s="334" t="s">
        <v>27</v>
      </c>
      <c r="P2" s="334"/>
      <c r="Q2" s="334"/>
      <c r="R2" s="334"/>
      <c r="S2" s="334"/>
      <c r="T2" s="334"/>
      <c r="U2" s="334"/>
      <c r="W2" s="332" t="s">
        <v>58</v>
      </c>
      <c r="X2" s="332"/>
      <c r="Y2" s="332"/>
    </row>
    <row r="4" spans="1:25" x14ac:dyDescent="0.25">
      <c r="C4" s="103" t="s">
        <v>25</v>
      </c>
      <c r="D4" s="9" t="s">
        <v>0</v>
      </c>
      <c r="E4" s="9" t="s">
        <v>2</v>
      </c>
      <c r="F4" s="11"/>
      <c r="O4" s="372" t="s">
        <v>34</v>
      </c>
      <c r="P4" s="372"/>
      <c r="Q4" s="55">
        <f>D8</f>
        <v>0</v>
      </c>
      <c r="S4" s="360" t="s">
        <v>39</v>
      </c>
      <c r="T4" s="360"/>
      <c r="U4" s="111">
        <f>D8</f>
        <v>0</v>
      </c>
      <c r="W4" s="312" t="s">
        <v>91</v>
      </c>
      <c r="X4" s="312"/>
      <c r="Y4" s="312"/>
    </row>
    <row r="5" spans="1:25" x14ac:dyDescent="0.25">
      <c r="O5" s="104"/>
      <c r="P5" s="104"/>
      <c r="Q5" s="104"/>
      <c r="S5" s="360"/>
      <c r="T5" s="360"/>
      <c r="U5" s="111">
        <f>J18</f>
        <v>0</v>
      </c>
      <c r="W5" s="312"/>
      <c r="X5" s="312"/>
      <c r="Y5" s="312"/>
    </row>
    <row r="6" spans="1:25" x14ac:dyDescent="0.25">
      <c r="B6" s="132" t="s">
        <v>15</v>
      </c>
      <c r="C6" s="245"/>
      <c r="D6" s="118"/>
      <c r="E6" s="118"/>
      <c r="O6" s="371" t="s">
        <v>125</v>
      </c>
      <c r="P6" s="371"/>
      <c r="Q6" s="105">
        <f>D6</f>
        <v>0</v>
      </c>
      <c r="S6" s="51"/>
      <c r="T6" s="51"/>
      <c r="U6" s="51"/>
      <c r="W6" s="312"/>
      <c r="X6" s="312"/>
      <c r="Y6" s="312"/>
    </row>
    <row r="7" spans="1:25" x14ac:dyDescent="0.25">
      <c r="B7" s="11"/>
      <c r="O7" s="105"/>
      <c r="P7" s="104"/>
      <c r="Q7" s="104"/>
      <c r="S7" s="369" t="s">
        <v>76</v>
      </c>
      <c r="T7" s="369"/>
      <c r="U7" s="34">
        <f>D6</f>
        <v>0</v>
      </c>
      <c r="W7" s="42"/>
      <c r="X7" s="42"/>
      <c r="Y7" s="42"/>
    </row>
    <row r="8" spans="1:25" x14ac:dyDescent="0.25">
      <c r="B8" s="132" t="s">
        <v>17</v>
      </c>
      <c r="C8" s="245"/>
      <c r="D8" s="118"/>
      <c r="E8" s="118"/>
      <c r="F8" s="12"/>
      <c r="H8" s="10"/>
      <c r="O8" s="371" t="s">
        <v>126</v>
      </c>
      <c r="P8" s="371"/>
      <c r="Q8" s="105">
        <f>D8</f>
        <v>0</v>
      </c>
      <c r="S8" s="51"/>
      <c r="T8" s="51"/>
      <c r="U8" s="51"/>
      <c r="W8" s="312" t="s">
        <v>93</v>
      </c>
      <c r="X8" s="312"/>
      <c r="Y8" s="312"/>
    </row>
    <row r="9" spans="1:25" ht="15.75" thickBot="1" x14ac:dyDescent="0.3">
      <c r="B9" s="11"/>
      <c r="O9" s="104"/>
      <c r="P9" s="104"/>
      <c r="Q9" s="104"/>
      <c r="S9" s="369" t="s">
        <v>73</v>
      </c>
      <c r="T9" s="369"/>
      <c r="U9" s="51"/>
      <c r="W9" s="312"/>
      <c r="X9" s="312"/>
      <c r="Y9" s="312"/>
    </row>
    <row r="10" spans="1:25" ht="15.75" thickBot="1" x14ac:dyDescent="0.3">
      <c r="B10" s="11"/>
      <c r="D10" s="1" t="s">
        <v>3</v>
      </c>
      <c r="E10" s="28">
        <f>-E6+E8</f>
        <v>0</v>
      </c>
      <c r="F10" s="12"/>
      <c r="G10" s="114">
        <f>(C12*D8-C12*D6)+G18</f>
        <v>0</v>
      </c>
      <c r="J10" s="10"/>
      <c r="O10" s="371" t="s">
        <v>37</v>
      </c>
      <c r="P10" s="371"/>
      <c r="Q10" s="105">
        <f>Q8-Q6</f>
        <v>0</v>
      </c>
      <c r="S10" s="51"/>
      <c r="T10" s="51"/>
      <c r="U10" s="51"/>
      <c r="W10" s="312"/>
      <c r="X10" s="312"/>
      <c r="Y10" s="312"/>
    </row>
    <row r="11" spans="1:25" ht="15.75" thickBot="1" x14ac:dyDescent="0.3">
      <c r="O11" s="104"/>
      <c r="P11" s="105"/>
      <c r="Q11" s="104"/>
      <c r="S11" s="357" t="s">
        <v>79</v>
      </c>
      <c r="T11" s="357"/>
      <c r="U11" s="357"/>
      <c r="W11" s="268"/>
      <c r="X11" s="268"/>
      <c r="Y11" s="268"/>
    </row>
    <row r="12" spans="1:25" ht="15.75" thickBot="1" x14ac:dyDescent="0.3">
      <c r="B12" s="69" t="s">
        <v>9</v>
      </c>
      <c r="C12" s="141"/>
      <c r="D12" s="16"/>
      <c r="E12" s="17"/>
      <c r="F12" s="16"/>
      <c r="I12" s="113">
        <f>D6</f>
        <v>0</v>
      </c>
      <c r="L12" s="10"/>
      <c r="O12" s="371" t="s">
        <v>69</v>
      </c>
      <c r="P12" s="371"/>
      <c r="Q12" s="105">
        <f>E10</f>
        <v>0</v>
      </c>
      <c r="S12" s="51"/>
      <c r="T12" s="51"/>
      <c r="U12" s="51"/>
      <c r="W12" s="312" t="s">
        <v>177</v>
      </c>
      <c r="X12" s="312"/>
      <c r="Y12" s="312"/>
    </row>
    <row r="13" spans="1:25" x14ac:dyDescent="0.25">
      <c r="B13" s="15"/>
      <c r="C13"/>
      <c r="H13" s="19"/>
      <c r="O13" s="104"/>
      <c r="P13" s="104"/>
      <c r="Q13" s="104"/>
      <c r="S13" s="366" t="s">
        <v>77</v>
      </c>
      <c r="T13" s="366"/>
      <c r="U13" s="117">
        <f>(U4+U5)/2</f>
        <v>0</v>
      </c>
      <c r="W13" s="312"/>
      <c r="X13" s="312"/>
      <c r="Y13" s="312"/>
    </row>
    <row r="14" spans="1:25" x14ac:dyDescent="0.25">
      <c r="B14" s="69" t="s">
        <v>10</v>
      </c>
      <c r="C14" s="140"/>
      <c r="E14" s="20"/>
      <c r="F14" s="21"/>
      <c r="K14" s="10"/>
      <c r="O14" s="371" t="s">
        <v>70</v>
      </c>
      <c r="P14" s="371"/>
      <c r="Q14" s="105">
        <f>Q10+Q12</f>
        <v>0</v>
      </c>
      <c r="S14" s="366" t="s">
        <v>78</v>
      </c>
      <c r="T14" s="366"/>
      <c r="U14" s="117">
        <f>U13-U7</f>
        <v>0</v>
      </c>
      <c r="W14" s="312"/>
      <c r="X14" s="312"/>
      <c r="Y14" s="312"/>
    </row>
    <row r="15" spans="1:25" x14ac:dyDescent="0.25">
      <c r="B15" s="15"/>
      <c r="C15"/>
      <c r="E15" s="20"/>
      <c r="F15" s="21"/>
      <c r="K15" s="10"/>
      <c r="O15" s="104"/>
      <c r="P15" s="104"/>
      <c r="Q15" s="104"/>
      <c r="S15" s="366" t="s">
        <v>71</v>
      </c>
      <c r="T15" s="366"/>
      <c r="U15" s="183">
        <f>(U14*C12)-C16</f>
        <v>0</v>
      </c>
    </row>
    <row r="16" spans="1:25" ht="15.75" thickBot="1" x14ac:dyDescent="0.3">
      <c r="B16" s="20" t="s">
        <v>11</v>
      </c>
      <c r="C16" s="29">
        <f>ABS(C12*E10)</f>
        <v>0</v>
      </c>
      <c r="E16" s="22"/>
      <c r="F16" s="22"/>
      <c r="K16" s="10"/>
      <c r="O16" s="115" t="s">
        <v>71</v>
      </c>
      <c r="P16" s="115"/>
      <c r="Q16" s="183">
        <f>Q14*C12</f>
        <v>0</v>
      </c>
    </row>
    <row r="17" spans="2:21" ht="15.75" thickBot="1" x14ac:dyDescent="0.3">
      <c r="B17" s="7"/>
      <c r="C17"/>
      <c r="L17" s="6">
        <f>D8</f>
        <v>0</v>
      </c>
    </row>
    <row r="18" spans="2:21" ht="15.75" thickBot="1" x14ac:dyDescent="0.3">
      <c r="B18" s="15"/>
      <c r="C18" s="10"/>
      <c r="E18" s="24">
        <f ca="1">C14-TODAY()</f>
        <v>-45121</v>
      </c>
      <c r="G18" s="114">
        <f>-C16</f>
        <v>0</v>
      </c>
      <c r="J18" s="113">
        <f>I12-E10</f>
        <v>0</v>
      </c>
      <c r="K18" s="11"/>
      <c r="O18" s="367" t="s">
        <v>72</v>
      </c>
      <c r="P18" s="367"/>
      <c r="Q18" s="102">
        <f>I12</f>
        <v>0</v>
      </c>
      <c r="S18" s="360" t="s">
        <v>39</v>
      </c>
      <c r="T18" s="360"/>
      <c r="U18" s="111">
        <f>J18</f>
        <v>0</v>
      </c>
    </row>
    <row r="19" spans="2:21" ht="15" customHeight="1" x14ac:dyDescent="0.25">
      <c r="B19" s="314" t="s">
        <v>63</v>
      </c>
      <c r="C19" s="314"/>
      <c r="D19" s="314"/>
      <c r="E19" s="314"/>
      <c r="I19" s="20"/>
      <c r="J19" s="25"/>
      <c r="K19" s="25"/>
      <c r="O19" s="108"/>
      <c r="P19" s="108"/>
      <c r="Q19" s="108"/>
      <c r="S19" s="360"/>
      <c r="T19" s="360"/>
      <c r="U19" s="111">
        <f>I12</f>
        <v>0</v>
      </c>
    </row>
    <row r="20" spans="2:21" x14ac:dyDescent="0.25">
      <c r="B20" s="314"/>
      <c r="C20" s="314"/>
      <c r="D20" s="314"/>
      <c r="E20" s="314"/>
      <c r="H20" s="10"/>
      <c r="I20" s="7"/>
      <c r="J20" s="11"/>
      <c r="K20" s="11"/>
      <c r="O20" s="370" t="s">
        <v>106</v>
      </c>
      <c r="P20" s="370"/>
      <c r="Q20" s="370"/>
      <c r="S20" s="51"/>
      <c r="T20" s="51"/>
      <c r="U20" s="51"/>
    </row>
    <row r="21" spans="2:21" x14ac:dyDescent="0.25">
      <c r="I21" s="20"/>
      <c r="J21" s="25"/>
      <c r="K21" s="25"/>
      <c r="O21" s="108"/>
      <c r="P21" s="108"/>
      <c r="Q21" s="108"/>
      <c r="S21" s="369" t="s">
        <v>76</v>
      </c>
      <c r="T21" s="369"/>
      <c r="U21" s="34">
        <f>I12</f>
        <v>0</v>
      </c>
    </row>
    <row r="22" spans="2:21" x14ac:dyDescent="0.25">
      <c r="F22" s="10"/>
      <c r="O22" s="370" t="s">
        <v>101</v>
      </c>
      <c r="P22" s="370"/>
      <c r="Q22" s="370"/>
      <c r="S22" s="51"/>
      <c r="T22" s="51"/>
      <c r="U22" s="51"/>
    </row>
    <row r="23" spans="2:21" x14ac:dyDescent="0.25">
      <c r="O23" s="108"/>
      <c r="P23" s="108"/>
      <c r="Q23" s="108"/>
      <c r="S23" s="369" t="s">
        <v>73</v>
      </c>
      <c r="T23" s="369"/>
      <c r="U23" s="51"/>
    </row>
    <row r="24" spans="2:21" ht="27" x14ac:dyDescent="0.4">
      <c r="B24" s="311" t="s">
        <v>164</v>
      </c>
      <c r="C24" s="311"/>
      <c r="D24" s="311"/>
      <c r="E24" s="311"/>
      <c r="G24" s="332" t="s">
        <v>94</v>
      </c>
      <c r="H24" s="332"/>
      <c r="I24" s="332"/>
      <c r="O24" s="108" t="s">
        <v>74</v>
      </c>
      <c r="P24" s="108"/>
      <c r="Q24" s="109">
        <f>E10</f>
        <v>0</v>
      </c>
      <c r="S24" s="51"/>
      <c r="T24" s="51"/>
      <c r="U24" s="51"/>
    </row>
    <row r="25" spans="2:21" x14ac:dyDescent="0.25">
      <c r="B25" s="120"/>
      <c r="C25" s="129"/>
      <c r="D25" s="120"/>
      <c r="E25" s="120"/>
      <c r="O25" s="108"/>
      <c r="P25" s="108"/>
      <c r="Q25" s="108"/>
      <c r="S25" s="357" t="s">
        <v>80</v>
      </c>
      <c r="T25" s="357"/>
      <c r="U25" s="357"/>
    </row>
    <row r="26" spans="2:21" x14ac:dyDescent="0.25">
      <c r="B26" s="364" t="s">
        <v>165</v>
      </c>
      <c r="C26" s="364"/>
      <c r="D26" s="364"/>
      <c r="E26" s="216">
        <f>I12</f>
        <v>0</v>
      </c>
      <c r="G26" s="350" t="s">
        <v>28</v>
      </c>
      <c r="H26" s="350"/>
      <c r="I26" s="228"/>
      <c r="K26" s="10"/>
      <c r="O26" s="367" t="s">
        <v>75</v>
      </c>
      <c r="P26" s="367"/>
      <c r="Q26" s="183">
        <f>Q24*C12</f>
        <v>0</v>
      </c>
      <c r="S26" s="51"/>
      <c r="T26" s="51"/>
      <c r="U26" s="51"/>
    </row>
    <row r="27" spans="2:21" x14ac:dyDescent="0.25">
      <c r="S27" s="366" t="s">
        <v>77</v>
      </c>
      <c r="T27" s="366"/>
      <c r="U27" s="117">
        <f>(U18+U19)/2</f>
        <v>0</v>
      </c>
    </row>
    <row r="28" spans="2:21" x14ac:dyDescent="0.25">
      <c r="B28" s="175" t="s">
        <v>130</v>
      </c>
      <c r="C28" s="176" t="s">
        <v>131</v>
      </c>
      <c r="D28" s="175" t="s">
        <v>132</v>
      </c>
      <c r="E28" s="175" t="s">
        <v>133</v>
      </c>
      <c r="G28" s="350" t="s">
        <v>71</v>
      </c>
      <c r="H28" s="350"/>
      <c r="I28" s="192">
        <f>IF((I26&lt;I12),G18,IF(AND((I26&gt;I12),(I26&lt;J18)),G18-((I12-I26)*C12),IF(AND((I26&gt;=J18),(L17&gt;I26)),G18-((I12-I26)*C12),G10)))</f>
        <v>0</v>
      </c>
      <c r="K28" s="10"/>
      <c r="O28" s="112"/>
      <c r="P28" s="112"/>
      <c r="Q28" s="10"/>
      <c r="S28" s="366" t="s">
        <v>78</v>
      </c>
      <c r="T28" s="366"/>
      <c r="U28" s="117">
        <f>U27-U21</f>
        <v>0</v>
      </c>
    </row>
    <row r="29" spans="2:21" x14ac:dyDescent="0.25">
      <c r="B29" s="120"/>
      <c r="C29" s="129"/>
      <c r="D29" s="120"/>
      <c r="E29" s="120"/>
      <c r="O29" s="112"/>
      <c r="P29" s="112"/>
      <c r="Q29" s="10"/>
      <c r="S29" s="366" t="s">
        <v>71</v>
      </c>
      <c r="T29" s="366"/>
      <c r="U29" s="183">
        <f>(U28*C12)-C16</f>
        <v>0</v>
      </c>
    </row>
    <row r="30" spans="2:21" x14ac:dyDescent="0.25">
      <c r="B30" s="251"/>
      <c r="C30" s="256"/>
      <c r="D30" s="252"/>
      <c r="E30" s="254"/>
    </row>
    <row r="31" spans="2:21" x14ac:dyDescent="0.25">
      <c r="B31" s="234" t="s">
        <v>162</v>
      </c>
      <c r="C31" s="235">
        <f>E6*C12</f>
        <v>0</v>
      </c>
      <c r="D31" s="255"/>
      <c r="E31" s="237">
        <f>E30+D31-C31</f>
        <v>0</v>
      </c>
    </row>
    <row r="32" spans="2:21" x14ac:dyDescent="0.25">
      <c r="B32" s="249" t="s">
        <v>163</v>
      </c>
      <c r="C32" s="250"/>
      <c r="D32" s="190">
        <f>E8*C12</f>
        <v>0</v>
      </c>
      <c r="E32" s="183">
        <f>E31+D32-C32</f>
        <v>0</v>
      </c>
    </row>
    <row r="33" spans="2:8" x14ac:dyDescent="0.25">
      <c r="B33" s="251"/>
      <c r="C33" s="252"/>
      <c r="D33" s="253"/>
      <c r="E33" s="254"/>
    </row>
    <row r="34" spans="2:8" x14ac:dyDescent="0.25">
      <c r="B34" s="191"/>
      <c r="C34" s="220"/>
      <c r="D34" s="192"/>
      <c r="E34" s="192"/>
    </row>
    <row r="35" spans="2:8" ht="27" x14ac:dyDescent="0.4">
      <c r="B35" s="311" t="s">
        <v>164</v>
      </c>
      <c r="C35" s="311"/>
      <c r="D35" s="311"/>
      <c r="E35" s="311"/>
    </row>
    <row r="36" spans="2:8" x14ac:dyDescent="0.25">
      <c r="B36" s="120"/>
      <c r="C36" s="129"/>
      <c r="D36" s="120"/>
      <c r="E36" s="120"/>
    </row>
    <row r="37" spans="2:8" x14ac:dyDescent="0.25">
      <c r="B37" s="364" t="s">
        <v>167</v>
      </c>
      <c r="C37" s="364"/>
      <c r="D37" s="216">
        <f>I12</f>
        <v>0</v>
      </c>
      <c r="E37" s="216">
        <f>L17</f>
        <v>0</v>
      </c>
    </row>
    <row r="39" spans="2:8" x14ac:dyDescent="0.25">
      <c r="B39" s="175" t="s">
        <v>130</v>
      </c>
      <c r="C39" s="176" t="s">
        <v>131</v>
      </c>
      <c r="D39" s="175" t="s">
        <v>132</v>
      </c>
      <c r="E39" s="175" t="s">
        <v>133</v>
      </c>
    </row>
    <row r="40" spans="2:8" x14ac:dyDescent="0.25">
      <c r="B40" s="120"/>
      <c r="C40" s="129"/>
      <c r="D40" s="120"/>
      <c r="E40" s="120"/>
    </row>
    <row r="41" spans="2:8" x14ac:dyDescent="0.25">
      <c r="B41" s="260"/>
      <c r="C41" s="256"/>
      <c r="D41" s="261"/>
      <c r="E41" s="262"/>
    </row>
    <row r="42" spans="2:8" x14ac:dyDescent="0.25">
      <c r="B42" s="257" t="s">
        <v>162</v>
      </c>
      <c r="C42" s="235">
        <f>C31</f>
        <v>0</v>
      </c>
      <c r="D42" s="258"/>
      <c r="E42" s="259">
        <f>E41+D42-C42</f>
        <v>0</v>
      </c>
    </row>
    <row r="43" spans="2:8" x14ac:dyDescent="0.25">
      <c r="B43" s="178" t="s">
        <v>163</v>
      </c>
      <c r="C43" s="218"/>
      <c r="D43" s="219">
        <f>D32</f>
        <v>0</v>
      </c>
      <c r="E43" s="219">
        <f t="shared" ref="E43:E45" si="0">E42+D43-C43</f>
        <v>0</v>
      </c>
    </row>
    <row r="44" spans="2:8" x14ac:dyDescent="0.25">
      <c r="B44" s="187" t="s">
        <v>166</v>
      </c>
      <c r="C44" s="181">
        <f>D6*C12</f>
        <v>0</v>
      </c>
      <c r="D44" s="184"/>
      <c r="E44" s="181">
        <f t="shared" si="0"/>
        <v>0</v>
      </c>
      <c r="F44" s="365" t="s">
        <v>151</v>
      </c>
      <c r="G44" s="217">
        <f>I12</f>
        <v>0</v>
      </c>
      <c r="H44" s="368">
        <v>31.33</v>
      </c>
    </row>
    <row r="45" spans="2:8" x14ac:dyDescent="0.25">
      <c r="B45" s="263" t="s">
        <v>135</v>
      </c>
      <c r="C45" s="264"/>
      <c r="D45" s="265">
        <f>H44*C12</f>
        <v>0</v>
      </c>
      <c r="E45" s="183">
        <f t="shared" si="0"/>
        <v>0</v>
      </c>
      <c r="F45" s="365"/>
      <c r="G45" s="217">
        <f>L17</f>
        <v>0</v>
      </c>
      <c r="H45" s="368"/>
    </row>
    <row r="46" spans="2:8" x14ac:dyDescent="0.25">
      <c r="B46" s="260"/>
      <c r="C46" s="266"/>
      <c r="D46" s="267"/>
      <c r="E46" s="254"/>
    </row>
    <row r="48" spans="2:8" ht="27" x14ac:dyDescent="0.4">
      <c r="B48" s="311" t="s">
        <v>164</v>
      </c>
      <c r="C48" s="311"/>
      <c r="D48" s="311"/>
      <c r="E48" s="311"/>
    </row>
    <row r="49" spans="2:5" x14ac:dyDescent="0.25">
      <c r="B49" s="120"/>
      <c r="C49" s="129"/>
      <c r="D49" s="120"/>
      <c r="E49" s="120"/>
    </row>
    <row r="50" spans="2:5" x14ac:dyDescent="0.25">
      <c r="B50" s="364" t="s">
        <v>168</v>
      </c>
      <c r="C50" s="364"/>
      <c r="D50" s="364"/>
      <c r="E50" s="216">
        <f>D8</f>
        <v>0</v>
      </c>
    </row>
    <row r="52" spans="2:5" x14ac:dyDescent="0.25">
      <c r="B52" s="175" t="s">
        <v>130</v>
      </c>
      <c r="C52" s="176" t="s">
        <v>131</v>
      </c>
      <c r="D52" s="175" t="s">
        <v>132</v>
      </c>
      <c r="E52" s="175" t="s">
        <v>133</v>
      </c>
    </row>
    <row r="53" spans="2:5" x14ac:dyDescent="0.25">
      <c r="B53" s="120"/>
      <c r="C53" s="129"/>
      <c r="D53" s="120"/>
      <c r="E53" s="120"/>
    </row>
    <row r="54" spans="2:5" x14ac:dyDescent="0.25">
      <c r="B54" s="260"/>
      <c r="C54" s="256"/>
      <c r="D54" s="261"/>
      <c r="E54" s="262"/>
    </row>
    <row r="55" spans="2:5" x14ac:dyDescent="0.25">
      <c r="B55" s="257" t="s">
        <v>162</v>
      </c>
      <c r="C55" s="235">
        <f>C42</f>
        <v>0</v>
      </c>
      <c r="D55" s="258"/>
      <c r="E55" s="259">
        <f>E54+D55-C55</f>
        <v>0</v>
      </c>
    </row>
    <row r="56" spans="2:5" x14ac:dyDescent="0.25">
      <c r="B56" s="178" t="s">
        <v>163</v>
      </c>
      <c r="C56" s="218"/>
      <c r="D56" s="219">
        <f>D43</f>
        <v>0</v>
      </c>
      <c r="E56" s="219">
        <f t="shared" ref="E56:E58" si="1">E55+D56-C56</f>
        <v>0</v>
      </c>
    </row>
    <row r="57" spans="2:5" x14ac:dyDescent="0.25">
      <c r="B57" s="187" t="s">
        <v>166</v>
      </c>
      <c r="C57" s="181">
        <f>D6*C12</f>
        <v>0</v>
      </c>
      <c r="D57" s="184"/>
      <c r="E57" s="181">
        <f t="shared" si="1"/>
        <v>0</v>
      </c>
    </row>
    <row r="58" spans="2:5" x14ac:dyDescent="0.25">
      <c r="B58" s="263" t="s">
        <v>169</v>
      </c>
      <c r="C58" s="264"/>
      <c r="D58" s="265">
        <f>D8*C12</f>
        <v>0</v>
      </c>
      <c r="E58" s="200">
        <f t="shared" si="1"/>
        <v>0</v>
      </c>
    </row>
    <row r="59" spans="2:5" x14ac:dyDescent="0.25">
      <c r="B59" s="260"/>
      <c r="C59" s="266"/>
      <c r="D59" s="267"/>
      <c r="E59" s="254"/>
    </row>
  </sheetData>
  <sheetProtection sheet="1" objects="1" scenarios="1"/>
  <mergeCells count="42">
    <mergeCell ref="S4:T5"/>
    <mergeCell ref="O2:U2"/>
    <mergeCell ref="O4:P4"/>
    <mergeCell ref="S7:T7"/>
    <mergeCell ref="O18:P18"/>
    <mergeCell ref="O22:Q22"/>
    <mergeCell ref="O20:Q20"/>
    <mergeCell ref="B2:M2"/>
    <mergeCell ref="O6:P6"/>
    <mergeCell ref="O8:P8"/>
    <mergeCell ref="O10:P10"/>
    <mergeCell ref="O12:P12"/>
    <mergeCell ref="O14:P14"/>
    <mergeCell ref="B19:E20"/>
    <mergeCell ref="W2:Y2"/>
    <mergeCell ref="H44:H45"/>
    <mergeCell ref="S9:T9"/>
    <mergeCell ref="S21:T21"/>
    <mergeCell ref="S25:U25"/>
    <mergeCell ref="S11:U11"/>
    <mergeCell ref="S13:T13"/>
    <mergeCell ref="S14:T14"/>
    <mergeCell ref="S15:T15"/>
    <mergeCell ref="S18:T19"/>
    <mergeCell ref="S23:T23"/>
    <mergeCell ref="W12:Y14"/>
    <mergeCell ref="G26:H26"/>
    <mergeCell ref="G24:I24"/>
    <mergeCell ref="W4:Y6"/>
    <mergeCell ref="W8:Y10"/>
    <mergeCell ref="B24:E24"/>
    <mergeCell ref="B26:D26"/>
    <mergeCell ref="S27:T27"/>
    <mergeCell ref="S28:T28"/>
    <mergeCell ref="S29:T29"/>
    <mergeCell ref="G28:H28"/>
    <mergeCell ref="O26:P26"/>
    <mergeCell ref="B48:E48"/>
    <mergeCell ref="B50:D50"/>
    <mergeCell ref="B35:E35"/>
    <mergeCell ref="B37:C37"/>
    <mergeCell ref="F44:F45"/>
  </mergeCells>
  <conditionalFormatting sqref="E32:E33">
    <cfRule type="cellIs" dxfId="91" priority="11" operator="lessThan">
      <formula>0</formula>
    </cfRule>
    <cfRule type="cellIs" dxfId="90" priority="12" operator="greaterThan">
      <formula>0</formula>
    </cfRule>
  </conditionalFormatting>
  <conditionalFormatting sqref="E45:E46">
    <cfRule type="cellIs" dxfId="89" priority="13" operator="lessThan">
      <formula>0</formula>
    </cfRule>
    <cfRule type="cellIs" dxfId="88" priority="14" operator="greaterThan">
      <formula>0</formula>
    </cfRule>
  </conditionalFormatting>
  <conditionalFormatting sqref="E58:E59">
    <cfRule type="cellIs" dxfId="87" priority="9" operator="lessThan">
      <formula>0</formula>
    </cfRule>
    <cfRule type="cellIs" dxfId="86" priority="10" operator="greaterThan">
      <formula>0</formula>
    </cfRule>
  </conditionalFormatting>
  <conditionalFormatting sqref="G10">
    <cfRule type="cellIs" dxfId="85" priority="19" operator="lessThan">
      <formula>0</formula>
    </cfRule>
    <cfRule type="cellIs" dxfId="84" priority="20" operator="greaterThan">
      <formula>0</formula>
    </cfRule>
  </conditionalFormatting>
  <conditionalFormatting sqref="G18">
    <cfRule type="cellIs" dxfId="83" priority="17" operator="lessThan">
      <formula>0</formula>
    </cfRule>
    <cfRule type="cellIs" dxfId="82" priority="18" operator="greaterThan">
      <formula>0</formula>
    </cfRule>
  </conditionalFormatting>
  <conditionalFormatting sqref="I28">
    <cfRule type="cellIs" dxfId="81" priority="15" operator="lessThan">
      <formula>0</formula>
    </cfRule>
    <cfRule type="cellIs" dxfId="80" priority="16" operator="greaterThan">
      <formula>0</formula>
    </cfRule>
  </conditionalFormatting>
  <conditionalFormatting sqref="Q16">
    <cfRule type="cellIs" dxfId="79" priority="7" operator="lessThan">
      <formula>0</formula>
    </cfRule>
    <cfRule type="cellIs" dxfId="78" priority="8" operator="greaterThan">
      <formula>0</formula>
    </cfRule>
  </conditionalFormatting>
  <conditionalFormatting sqref="Q26">
    <cfRule type="cellIs" dxfId="77" priority="5" operator="lessThan">
      <formula>0</formula>
    </cfRule>
    <cfRule type="cellIs" dxfId="76" priority="6" operator="greaterThan">
      <formula>0</formula>
    </cfRule>
  </conditionalFormatting>
  <conditionalFormatting sqref="U15">
    <cfRule type="cellIs" dxfId="75" priority="1" operator="lessThan">
      <formula>0</formula>
    </cfRule>
    <cfRule type="cellIs" dxfId="74" priority="2" operator="greaterThan">
      <formula>0</formula>
    </cfRule>
  </conditionalFormatting>
  <conditionalFormatting sqref="U29">
    <cfRule type="cellIs" dxfId="73" priority="3" operator="lessThan">
      <formula>0</formula>
    </cfRule>
    <cfRule type="cellIs" dxfId="72" priority="4" operator="greaterThan">
      <formula>0</formula>
    </cfRule>
  </conditionalFormatting>
  <dataValidations count="1">
    <dataValidation type="decimal" allowBlank="1" showInputMessage="1" showErrorMessage="1" sqref="H44:H45" xr:uid="{40B56B4B-4330-4574-ABA0-E984B681B2D1}">
      <formula1>G44</formula1>
      <formula2>G45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8ED1-5D65-4717-87D0-1FAB69DF79A4}">
  <sheetPr>
    <tabColor rgb="FFFF0000"/>
  </sheetPr>
  <dimension ref="A2:Y65"/>
  <sheetViews>
    <sheetView showGridLines="0" showRowColHeaders="0" zoomScale="110" zoomScaleNormal="110" workbookViewId="0">
      <selection activeCell="F8" sqref="F8"/>
    </sheetView>
  </sheetViews>
  <sheetFormatPr defaultRowHeight="15" x14ac:dyDescent="0.25"/>
  <cols>
    <col min="1" max="1" width="4.42578125" customWidth="1"/>
    <col min="2" max="2" width="22.5703125" customWidth="1"/>
    <col min="3" max="3" width="17.140625" style="7" customWidth="1"/>
    <col min="4" max="4" width="13.28515625" bestFit="1" customWidth="1"/>
    <col min="5" max="5" width="12" customWidth="1"/>
    <col min="6" max="7" width="12.140625" bestFit="1" customWidth="1"/>
    <col min="8" max="8" width="9.7109375" bestFit="1" customWidth="1"/>
    <col min="9" max="9" width="14.42578125" bestFit="1" customWidth="1"/>
    <col min="10" max="12" width="9.5703125" bestFit="1" customWidth="1"/>
    <col min="13" max="13" width="10" bestFit="1" customWidth="1"/>
    <col min="14" max="14" width="3.85546875" customWidth="1"/>
    <col min="15" max="15" width="14.28515625" customWidth="1"/>
    <col min="16" max="16" width="15.5703125" customWidth="1"/>
    <col min="17" max="17" width="16" customWidth="1"/>
    <col min="18" max="18" width="2.140625" customWidth="1"/>
    <col min="19" max="21" width="14.85546875" customWidth="1"/>
    <col min="22" max="22" width="2.140625" customWidth="1"/>
    <col min="23" max="25" width="16.5703125" customWidth="1"/>
  </cols>
  <sheetData>
    <row r="2" spans="1:25" ht="22.5" x14ac:dyDescent="0.3">
      <c r="A2" s="8"/>
      <c r="B2" s="332" t="s">
        <v>53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O2" s="334" t="s">
        <v>27</v>
      </c>
      <c r="P2" s="334"/>
      <c r="Q2" s="334"/>
      <c r="R2" s="334"/>
      <c r="S2" s="334"/>
      <c r="T2" s="334"/>
      <c r="U2" s="334"/>
      <c r="W2" s="332" t="s">
        <v>58</v>
      </c>
      <c r="X2" s="332"/>
      <c r="Y2" s="332"/>
    </row>
    <row r="4" spans="1:25" x14ac:dyDescent="0.25">
      <c r="C4" s="9" t="s">
        <v>25</v>
      </c>
      <c r="D4" s="9" t="s">
        <v>0</v>
      </c>
      <c r="E4" s="9" t="s">
        <v>2</v>
      </c>
      <c r="F4" s="11"/>
      <c r="O4" s="372" t="s">
        <v>52</v>
      </c>
      <c r="P4" s="372"/>
      <c r="Q4" s="55">
        <f>M12</f>
        <v>0</v>
      </c>
      <c r="S4" s="360" t="s">
        <v>39</v>
      </c>
      <c r="T4" s="360"/>
      <c r="U4" s="117">
        <f>I17</f>
        <v>0</v>
      </c>
      <c r="W4" s="312" t="s">
        <v>90</v>
      </c>
      <c r="X4" s="312"/>
      <c r="Y4" s="312"/>
    </row>
    <row r="5" spans="1:25" x14ac:dyDescent="0.25">
      <c r="O5" s="104"/>
      <c r="P5" s="104"/>
      <c r="Q5" s="104"/>
      <c r="S5" s="360"/>
      <c r="T5" s="360"/>
      <c r="U5" s="117">
        <f>K9</f>
        <v>0</v>
      </c>
      <c r="W5" s="312"/>
      <c r="X5" s="312"/>
      <c r="Y5" s="312"/>
    </row>
    <row r="6" spans="1:25" x14ac:dyDescent="0.25">
      <c r="B6" s="132" t="s">
        <v>18</v>
      </c>
      <c r="C6" s="245"/>
      <c r="D6" s="118"/>
      <c r="E6" s="118"/>
      <c r="O6" s="371" t="s">
        <v>127</v>
      </c>
      <c r="P6" s="371"/>
      <c r="Q6" s="106">
        <f>I17</f>
        <v>0</v>
      </c>
      <c r="S6" s="51"/>
      <c r="T6" s="51"/>
      <c r="U6" s="51"/>
      <c r="W6" s="312"/>
      <c r="X6" s="312"/>
      <c r="Y6" s="312"/>
    </row>
    <row r="7" spans="1:25" x14ac:dyDescent="0.25">
      <c r="B7" s="11"/>
      <c r="O7" s="105"/>
      <c r="P7" s="104"/>
      <c r="Q7" s="104"/>
      <c r="S7" s="369" t="s">
        <v>127</v>
      </c>
      <c r="T7" s="369"/>
      <c r="U7" s="34">
        <f>I17</f>
        <v>0</v>
      </c>
      <c r="W7" s="42"/>
      <c r="X7" s="42"/>
      <c r="Y7" s="42"/>
    </row>
    <row r="8" spans="1:25" ht="15.75" thickBot="1" x14ac:dyDescent="0.3">
      <c r="B8" s="132" t="s">
        <v>16</v>
      </c>
      <c r="C8" s="245"/>
      <c r="D8" s="118"/>
      <c r="E8" s="118"/>
      <c r="F8" s="12"/>
      <c r="H8" s="10"/>
      <c r="O8" s="375" t="s">
        <v>125</v>
      </c>
      <c r="P8" s="375"/>
      <c r="Q8" s="105">
        <f>M12</f>
        <v>0</v>
      </c>
      <c r="S8" s="51"/>
      <c r="T8" s="51"/>
      <c r="U8" s="51"/>
      <c r="W8" s="312" t="s">
        <v>92</v>
      </c>
      <c r="X8" s="312"/>
      <c r="Y8" s="312"/>
    </row>
    <row r="9" spans="1:25" ht="15.75" thickBot="1" x14ac:dyDescent="0.3">
      <c r="B9" s="11"/>
      <c r="K9" s="27">
        <f>D6+E10</f>
        <v>0</v>
      </c>
      <c r="O9" s="104"/>
      <c r="P9" s="106"/>
      <c r="Q9" s="104"/>
      <c r="S9" s="369" t="s">
        <v>106</v>
      </c>
      <c r="T9" s="369"/>
      <c r="U9" s="369"/>
      <c r="W9" s="312"/>
      <c r="X9" s="312"/>
      <c r="Y9" s="312"/>
    </row>
    <row r="10" spans="1:25" ht="15.75" thickBot="1" x14ac:dyDescent="0.3">
      <c r="B10" s="11"/>
      <c r="D10" s="1" t="s">
        <v>3</v>
      </c>
      <c r="E10" s="2">
        <f>E6-E8</f>
        <v>0</v>
      </c>
      <c r="F10" s="12"/>
      <c r="G10" s="114">
        <f>E10*C12</f>
        <v>0</v>
      </c>
      <c r="J10" s="10"/>
      <c r="O10" s="375" t="s">
        <v>84</v>
      </c>
      <c r="P10" s="375"/>
      <c r="Q10" s="105">
        <f>Q6-Q8</f>
        <v>0</v>
      </c>
      <c r="S10" s="51"/>
      <c r="T10" s="51"/>
      <c r="U10" s="51"/>
      <c r="W10" s="312"/>
      <c r="X10" s="312"/>
      <c r="Y10" s="312"/>
    </row>
    <row r="11" spans="1:25" ht="15.75" thickBot="1" x14ac:dyDescent="0.3">
      <c r="O11" s="104"/>
      <c r="P11" s="105"/>
      <c r="Q11" s="104"/>
      <c r="S11" s="369" t="s">
        <v>79</v>
      </c>
      <c r="T11" s="369"/>
      <c r="U11" s="369"/>
      <c r="W11" s="42"/>
      <c r="X11" s="42"/>
      <c r="Y11" s="42"/>
    </row>
    <row r="12" spans="1:25" ht="14.25" customHeight="1" thickBot="1" x14ac:dyDescent="0.3">
      <c r="B12" s="69" t="s">
        <v>9</v>
      </c>
      <c r="C12" s="141"/>
      <c r="D12" s="16"/>
      <c r="E12" s="17"/>
      <c r="F12" s="16"/>
      <c r="I12" s="18"/>
      <c r="L12" s="10"/>
      <c r="M12" s="6">
        <f>D8</f>
        <v>0</v>
      </c>
      <c r="O12" s="375" t="s">
        <v>85</v>
      </c>
      <c r="P12" s="375"/>
      <c r="Q12" s="105">
        <f>E10</f>
        <v>0</v>
      </c>
      <c r="S12" s="51"/>
      <c r="T12" s="51"/>
      <c r="U12" s="51"/>
      <c r="W12" s="42"/>
      <c r="X12" s="42"/>
      <c r="Y12" s="42"/>
    </row>
    <row r="13" spans="1:25" x14ac:dyDescent="0.25">
      <c r="B13" s="15"/>
      <c r="C13"/>
      <c r="H13" s="19"/>
      <c r="O13" s="104"/>
      <c r="P13" s="104"/>
      <c r="Q13" s="104"/>
      <c r="S13" s="366" t="s">
        <v>77</v>
      </c>
      <c r="T13" s="366"/>
      <c r="U13" s="117">
        <f>(U4+U5)/2</f>
        <v>0</v>
      </c>
      <c r="W13" s="312" t="s">
        <v>176</v>
      </c>
      <c r="X13" s="312"/>
      <c r="Y13" s="312"/>
    </row>
    <row r="14" spans="1:25" x14ac:dyDescent="0.25">
      <c r="B14" s="69" t="s">
        <v>10</v>
      </c>
      <c r="C14" s="140"/>
      <c r="E14" s="20"/>
      <c r="F14" s="21"/>
      <c r="K14" s="10"/>
      <c r="O14" s="375" t="s">
        <v>70</v>
      </c>
      <c r="P14" s="375"/>
      <c r="Q14" s="105">
        <f>Q10+Q12</f>
        <v>0</v>
      </c>
      <c r="S14" s="366" t="s">
        <v>88</v>
      </c>
      <c r="T14" s="366"/>
      <c r="U14" s="117">
        <f>U7-U13</f>
        <v>0</v>
      </c>
      <c r="W14" s="312"/>
      <c r="X14" s="312"/>
      <c r="Y14" s="312"/>
    </row>
    <row r="15" spans="1:25" x14ac:dyDescent="0.25">
      <c r="B15" s="15"/>
      <c r="C15"/>
      <c r="E15" s="20"/>
      <c r="F15" s="21"/>
      <c r="K15" s="10"/>
      <c r="O15" s="104"/>
      <c r="P15" s="104"/>
      <c r="Q15" s="104"/>
      <c r="S15" s="366" t="s">
        <v>71</v>
      </c>
      <c r="T15" s="366"/>
      <c r="U15" s="226">
        <f>(E10+U14)*C12</f>
        <v>0</v>
      </c>
      <c r="W15" s="312"/>
      <c r="X15" s="312"/>
      <c r="Y15" s="312"/>
    </row>
    <row r="16" spans="1:25" ht="15.75" thickBot="1" x14ac:dyDescent="0.3">
      <c r="B16" s="20" t="s">
        <v>124</v>
      </c>
      <c r="C16" s="3">
        <f>C12*E10</f>
        <v>0</v>
      </c>
      <c r="E16" s="22"/>
      <c r="F16" s="22"/>
      <c r="K16" s="10"/>
      <c r="O16" s="107" t="s">
        <v>86</v>
      </c>
      <c r="P16" s="107"/>
      <c r="Q16" s="226">
        <f>Q14*C12</f>
        <v>0</v>
      </c>
    </row>
    <row r="17" spans="2:21" ht="15.75" thickBot="1" x14ac:dyDescent="0.3">
      <c r="B17" s="7"/>
      <c r="C17"/>
      <c r="I17" s="6">
        <f>D6</f>
        <v>0</v>
      </c>
      <c r="J17" s="23"/>
      <c r="L17" s="18"/>
    </row>
    <row r="18" spans="2:21" ht="15.75" thickBot="1" x14ac:dyDescent="0.3">
      <c r="B18" s="15"/>
      <c r="C18" s="10"/>
      <c r="E18" s="24">
        <f ca="1">C14-TODAY()</f>
        <v>-45121</v>
      </c>
      <c r="G18" s="114">
        <f>-(D8-D6)*C12+C16</f>
        <v>0</v>
      </c>
      <c r="J18" s="14"/>
      <c r="K18" s="11"/>
      <c r="O18" s="110" t="s">
        <v>72</v>
      </c>
      <c r="P18" s="116"/>
      <c r="Q18" s="102">
        <f>I17</f>
        <v>0</v>
      </c>
      <c r="S18" s="360" t="s">
        <v>39</v>
      </c>
      <c r="T18" s="360"/>
      <c r="U18" s="117">
        <f>K9</f>
        <v>0</v>
      </c>
    </row>
    <row r="19" spans="2:21" ht="15" customHeight="1" x14ac:dyDescent="0.25">
      <c r="B19" s="269" t="s">
        <v>82</v>
      </c>
      <c r="I19" s="20"/>
      <c r="J19" s="25"/>
      <c r="K19" s="25"/>
      <c r="O19" s="92"/>
      <c r="P19" s="92"/>
      <c r="Q19" s="92"/>
      <c r="S19" s="360"/>
      <c r="T19" s="360"/>
      <c r="U19" s="117">
        <f>M12</f>
        <v>0</v>
      </c>
    </row>
    <row r="20" spans="2:21" x14ac:dyDescent="0.25">
      <c r="B20" s="269"/>
      <c r="H20" s="10"/>
      <c r="I20" s="7"/>
      <c r="J20" s="11"/>
      <c r="K20" s="11"/>
      <c r="O20" s="374" t="s">
        <v>128</v>
      </c>
      <c r="P20" s="374"/>
      <c r="Q20" s="374"/>
      <c r="S20" s="51"/>
      <c r="T20" s="51"/>
      <c r="U20" s="51"/>
    </row>
    <row r="21" spans="2:21" x14ac:dyDescent="0.25">
      <c r="I21" s="20"/>
      <c r="J21" s="25"/>
      <c r="K21" s="25"/>
      <c r="O21" s="92"/>
      <c r="P21" s="92"/>
      <c r="Q21" s="92"/>
      <c r="S21" s="369" t="s">
        <v>127</v>
      </c>
      <c r="T21" s="369"/>
      <c r="U21" s="34">
        <f>I17</f>
        <v>0</v>
      </c>
    </row>
    <row r="22" spans="2:21" x14ac:dyDescent="0.25">
      <c r="F22" s="10"/>
      <c r="O22" s="374" t="s">
        <v>101</v>
      </c>
      <c r="P22" s="374"/>
      <c r="Q22" s="374"/>
      <c r="S22" s="51"/>
      <c r="T22" s="51"/>
      <c r="U22" s="51"/>
    </row>
    <row r="23" spans="2:21" ht="22.5" x14ac:dyDescent="0.3">
      <c r="G23" s="332" t="s">
        <v>94</v>
      </c>
      <c r="H23" s="332"/>
      <c r="I23" s="332"/>
      <c r="O23" s="92"/>
      <c r="P23" s="92"/>
      <c r="Q23" s="92"/>
      <c r="S23" s="369" t="s">
        <v>106</v>
      </c>
      <c r="T23" s="369"/>
      <c r="U23" s="51"/>
    </row>
    <row r="24" spans="2:21" x14ac:dyDescent="0.25">
      <c r="O24" s="374" t="s">
        <v>87</v>
      </c>
      <c r="P24" s="374"/>
      <c r="Q24" s="93">
        <f>E10</f>
        <v>0</v>
      </c>
      <c r="S24" s="51"/>
      <c r="T24" s="51"/>
      <c r="U24" s="51"/>
    </row>
    <row r="25" spans="2:21" x14ac:dyDescent="0.25">
      <c r="C25" s="26"/>
      <c r="G25" s="350" t="s">
        <v>28</v>
      </c>
      <c r="H25" s="350"/>
      <c r="I25" s="230">
        <v>11.3</v>
      </c>
      <c r="O25" s="92"/>
      <c r="P25" s="92"/>
      <c r="Q25" s="92"/>
      <c r="S25" s="51" t="s">
        <v>80</v>
      </c>
      <c r="T25" s="51"/>
      <c r="U25" s="51"/>
    </row>
    <row r="26" spans="2:21" ht="15" customHeight="1" x14ac:dyDescent="0.25">
      <c r="B26" s="314" t="s">
        <v>82</v>
      </c>
      <c r="C26" s="314"/>
      <c r="D26" s="314"/>
      <c r="E26" s="314"/>
      <c r="O26" s="367" t="s">
        <v>71</v>
      </c>
      <c r="P26" s="367"/>
      <c r="Q26" s="226">
        <f>Q24*C12</f>
        <v>0</v>
      </c>
      <c r="S26" s="51"/>
      <c r="T26" s="51"/>
      <c r="U26" s="51"/>
    </row>
    <row r="27" spans="2:21" x14ac:dyDescent="0.25">
      <c r="B27" s="314"/>
      <c r="C27" s="314"/>
      <c r="D27" s="314"/>
      <c r="E27" s="314"/>
      <c r="G27" s="350" t="s">
        <v>71</v>
      </c>
      <c r="H27" s="350"/>
      <c r="I27" s="229">
        <f>IF((I25&lt;I17),G10,IF(AND((I25&gt;=I17),(I25&lt;K9)),((I17-I25)*C12)+G10,IF(AND((I25&gt;=K9),(I25&lt;=M12)),((I17-I25)*C12)+G10,G18)))</f>
        <v>0</v>
      </c>
      <c r="S27" s="366" t="s">
        <v>77</v>
      </c>
      <c r="T27" s="366"/>
      <c r="U27" s="117">
        <f>(U19+U18)/2</f>
        <v>0</v>
      </c>
    </row>
    <row r="28" spans="2:21" x14ac:dyDescent="0.25">
      <c r="S28" s="366" t="s">
        <v>89</v>
      </c>
      <c r="T28" s="366"/>
      <c r="U28" s="117">
        <f>U21-U27</f>
        <v>0</v>
      </c>
    </row>
    <row r="29" spans="2:21" x14ac:dyDescent="0.25">
      <c r="S29" s="366" t="s">
        <v>71</v>
      </c>
      <c r="T29" s="366"/>
      <c r="U29" s="226">
        <f>U28*C12+G10</f>
        <v>0</v>
      </c>
    </row>
    <row r="30" spans="2:21" ht="27" x14ac:dyDescent="0.4">
      <c r="B30" s="311" t="s">
        <v>164</v>
      </c>
      <c r="C30" s="311"/>
      <c r="D30" s="311"/>
      <c r="E30" s="311"/>
    </row>
    <row r="31" spans="2:21" x14ac:dyDescent="0.25">
      <c r="B31" s="120"/>
      <c r="C31" s="129"/>
      <c r="D31" s="120"/>
      <c r="E31" s="120"/>
    </row>
    <row r="32" spans="2:21" x14ac:dyDescent="0.25">
      <c r="B32" s="364" t="s">
        <v>165</v>
      </c>
      <c r="C32" s="364"/>
      <c r="D32" s="364"/>
      <c r="E32" s="216">
        <f>I17</f>
        <v>0</v>
      </c>
    </row>
    <row r="34" spans="2:5" x14ac:dyDescent="0.25">
      <c r="B34" s="175" t="s">
        <v>130</v>
      </c>
      <c r="C34" s="176" t="s">
        <v>131</v>
      </c>
      <c r="D34" s="175" t="s">
        <v>132</v>
      </c>
      <c r="E34" s="175" t="s">
        <v>133</v>
      </c>
    </row>
    <row r="35" spans="2:5" x14ac:dyDescent="0.25">
      <c r="B35" s="120"/>
      <c r="C35" s="129"/>
      <c r="D35" s="120"/>
      <c r="E35" s="120"/>
    </row>
    <row r="36" spans="2:5" x14ac:dyDescent="0.25">
      <c r="B36" s="177" t="s">
        <v>163</v>
      </c>
      <c r="C36" s="178"/>
      <c r="D36" s="179">
        <f>E6*C12</f>
        <v>0</v>
      </c>
      <c r="E36" s="190">
        <f>E35+D36-C36</f>
        <v>0</v>
      </c>
    </row>
    <row r="37" spans="2:5" x14ac:dyDescent="0.25">
      <c r="B37" s="214" t="s">
        <v>162</v>
      </c>
      <c r="C37" s="208">
        <f>E8*C12</f>
        <v>0</v>
      </c>
      <c r="D37" s="227"/>
      <c r="E37" s="226">
        <f>E36+D37-C37</f>
        <v>0</v>
      </c>
    </row>
    <row r="38" spans="2:5" x14ac:dyDescent="0.25">
      <c r="B38" s="201"/>
      <c r="C38" s="210"/>
      <c r="D38" s="203"/>
      <c r="E38" s="192"/>
    </row>
    <row r="39" spans="2:5" x14ac:dyDescent="0.25">
      <c r="B39" s="191"/>
      <c r="C39" s="209"/>
      <c r="D39" s="195"/>
      <c r="E39" s="192"/>
    </row>
    <row r="40" spans="2:5" x14ac:dyDescent="0.25">
      <c r="B40" s="191"/>
      <c r="C40" s="220"/>
      <c r="D40" s="192"/>
      <c r="E40" s="192"/>
    </row>
    <row r="41" spans="2:5" ht="27" x14ac:dyDescent="0.4">
      <c r="B41" s="311" t="s">
        <v>164</v>
      </c>
      <c r="C41" s="311"/>
      <c r="D41" s="311"/>
      <c r="E41" s="311"/>
    </row>
    <row r="42" spans="2:5" x14ac:dyDescent="0.25">
      <c r="B42" s="120"/>
      <c r="C42" s="129"/>
      <c r="D42" s="120"/>
      <c r="E42" s="120"/>
    </row>
    <row r="43" spans="2:5" x14ac:dyDescent="0.25">
      <c r="B43" s="364" t="s">
        <v>167</v>
      </c>
      <c r="C43" s="364"/>
      <c r="D43" s="216">
        <f>I17</f>
        <v>0</v>
      </c>
      <c r="E43" s="216">
        <f>M12</f>
        <v>0</v>
      </c>
    </row>
    <row r="45" spans="2:5" x14ac:dyDescent="0.25">
      <c r="B45" s="175" t="s">
        <v>130</v>
      </c>
      <c r="C45" s="176" t="s">
        <v>131</v>
      </c>
      <c r="D45" s="175" t="s">
        <v>132</v>
      </c>
      <c r="E45" s="175" t="s">
        <v>133</v>
      </c>
    </row>
    <row r="46" spans="2:5" x14ac:dyDescent="0.25">
      <c r="B46" s="120"/>
      <c r="C46" s="129"/>
      <c r="D46" s="120"/>
      <c r="E46" s="120"/>
    </row>
    <row r="47" spans="2:5" x14ac:dyDescent="0.25">
      <c r="B47" s="177" t="s">
        <v>163</v>
      </c>
      <c r="C47" s="178"/>
      <c r="D47" s="179">
        <f>D36</f>
        <v>0</v>
      </c>
      <c r="E47" s="179">
        <f>E46+D47-C47</f>
        <v>0</v>
      </c>
    </row>
    <row r="48" spans="2:5" x14ac:dyDescent="0.25">
      <c r="B48" s="214" t="s">
        <v>162</v>
      </c>
      <c r="C48" s="208">
        <f>C37</f>
        <v>0</v>
      </c>
      <c r="D48" s="183"/>
      <c r="E48" s="200">
        <f>E47+D48-C48</f>
        <v>0</v>
      </c>
    </row>
    <row r="49" spans="2:8" x14ac:dyDescent="0.25">
      <c r="B49" s="178" t="s">
        <v>161</v>
      </c>
      <c r="C49" s="179"/>
      <c r="D49" s="219">
        <f>D6*C12</f>
        <v>0</v>
      </c>
      <c r="E49" s="225">
        <f t="shared" ref="E49" si="0">E48+D49-C49</f>
        <v>0</v>
      </c>
      <c r="F49" s="373" t="s">
        <v>151</v>
      </c>
      <c r="G49" s="217">
        <f>D43</f>
        <v>0</v>
      </c>
      <c r="H49" s="368"/>
    </row>
    <row r="50" spans="2:8" x14ac:dyDescent="0.25">
      <c r="B50" s="221" t="s">
        <v>175</v>
      </c>
      <c r="C50" s="208">
        <f>H49*C12</f>
        <v>0</v>
      </c>
      <c r="D50" s="224"/>
      <c r="E50" s="226">
        <f>E49+D50-C50</f>
        <v>0</v>
      </c>
      <c r="F50" s="365"/>
      <c r="G50" s="217">
        <f>E43</f>
        <v>0</v>
      </c>
      <c r="H50" s="368"/>
    </row>
    <row r="51" spans="2:8" x14ac:dyDescent="0.25">
      <c r="B51" s="202"/>
      <c r="C51" s="222"/>
      <c r="D51" s="223"/>
      <c r="E51" s="194"/>
    </row>
    <row r="52" spans="2:8" x14ac:dyDescent="0.25">
      <c r="B52" s="193"/>
      <c r="C52" s="196"/>
      <c r="D52" s="7"/>
      <c r="E52" s="192"/>
    </row>
    <row r="54" spans="2:8" ht="27" x14ac:dyDescent="0.4">
      <c r="B54" s="311" t="s">
        <v>164</v>
      </c>
      <c r="C54" s="311"/>
      <c r="D54" s="311"/>
      <c r="E54" s="311"/>
    </row>
    <row r="55" spans="2:8" x14ac:dyDescent="0.25">
      <c r="B55" s="120"/>
      <c r="C55" s="129"/>
      <c r="D55" s="120"/>
      <c r="E55" s="120"/>
    </row>
    <row r="56" spans="2:8" x14ac:dyDescent="0.25">
      <c r="B56" s="364" t="s">
        <v>168</v>
      </c>
      <c r="C56" s="364"/>
      <c r="D56" s="364"/>
      <c r="E56" s="216">
        <f>M12</f>
        <v>0</v>
      </c>
    </row>
    <row r="58" spans="2:8" x14ac:dyDescent="0.25">
      <c r="B58" s="175" t="s">
        <v>130</v>
      </c>
      <c r="C58" s="176" t="s">
        <v>131</v>
      </c>
      <c r="D58" s="175" t="s">
        <v>132</v>
      </c>
      <c r="E58" s="175" t="s">
        <v>133</v>
      </c>
    </row>
    <row r="59" spans="2:8" x14ac:dyDescent="0.25">
      <c r="B59" s="120"/>
      <c r="C59" s="129"/>
      <c r="D59" s="120"/>
      <c r="E59" s="120"/>
    </row>
    <row r="60" spans="2:8" x14ac:dyDescent="0.25">
      <c r="B60" s="177" t="s">
        <v>163</v>
      </c>
      <c r="C60" s="178"/>
      <c r="D60" s="179">
        <f>D47</f>
        <v>0</v>
      </c>
      <c r="E60" s="179">
        <f>E59+D60-C60</f>
        <v>0</v>
      </c>
    </row>
    <row r="61" spans="2:8" x14ac:dyDescent="0.25">
      <c r="B61" s="180" t="s">
        <v>162</v>
      </c>
      <c r="C61" s="181">
        <f>C48</f>
        <v>0</v>
      </c>
      <c r="D61" s="183"/>
      <c r="E61" s="183">
        <f>E60+D61-C61</f>
        <v>0</v>
      </c>
    </row>
    <row r="62" spans="2:8" x14ac:dyDescent="0.25">
      <c r="B62" s="178" t="s">
        <v>161</v>
      </c>
      <c r="C62" s="218"/>
      <c r="D62" s="219">
        <f>D6*C12</f>
        <v>0</v>
      </c>
      <c r="E62" s="219">
        <f t="shared" ref="E62:E63" si="1">E61+D62-C62</f>
        <v>0</v>
      </c>
    </row>
    <row r="63" spans="2:8" x14ac:dyDescent="0.25">
      <c r="B63" s="187" t="s">
        <v>170</v>
      </c>
      <c r="C63" s="181">
        <f>D8*C12</f>
        <v>0</v>
      </c>
      <c r="D63" s="184"/>
      <c r="E63" s="226">
        <f t="shared" si="1"/>
        <v>0</v>
      </c>
    </row>
    <row r="64" spans="2:8" x14ac:dyDescent="0.25">
      <c r="B64" s="193"/>
      <c r="D64" s="194"/>
      <c r="E64" s="194"/>
    </row>
    <row r="65" spans="2:5" x14ac:dyDescent="0.25">
      <c r="B65" s="193"/>
      <c r="C65" s="196"/>
      <c r="D65" s="7"/>
      <c r="E65" s="192"/>
    </row>
  </sheetData>
  <sheetProtection sheet="1"/>
  <mergeCells count="41">
    <mergeCell ref="W2:Y2"/>
    <mergeCell ref="S4:T5"/>
    <mergeCell ref="S9:U9"/>
    <mergeCell ref="S11:U11"/>
    <mergeCell ref="S7:T7"/>
    <mergeCell ref="O24:P24"/>
    <mergeCell ref="G23:I23"/>
    <mergeCell ref="G25:H25"/>
    <mergeCell ref="G27:H27"/>
    <mergeCell ref="B2:M2"/>
    <mergeCell ref="O2:U2"/>
    <mergeCell ref="O4:P4"/>
    <mergeCell ref="O6:P6"/>
    <mergeCell ref="O8:P8"/>
    <mergeCell ref="O10:P10"/>
    <mergeCell ref="O12:P12"/>
    <mergeCell ref="S27:T27"/>
    <mergeCell ref="O14:P14"/>
    <mergeCell ref="O20:Q20"/>
    <mergeCell ref="O22:Q22"/>
    <mergeCell ref="O26:P26"/>
    <mergeCell ref="S29:T29"/>
    <mergeCell ref="S28:T28"/>
    <mergeCell ref="W4:Y6"/>
    <mergeCell ref="W8:Y10"/>
    <mergeCell ref="S13:T13"/>
    <mergeCell ref="S15:T15"/>
    <mergeCell ref="S14:T14"/>
    <mergeCell ref="S18:T19"/>
    <mergeCell ref="S23:T23"/>
    <mergeCell ref="S21:T21"/>
    <mergeCell ref="W13:Y15"/>
    <mergeCell ref="B26:E27"/>
    <mergeCell ref="B56:D56"/>
    <mergeCell ref="F49:F50"/>
    <mergeCell ref="H49:H50"/>
    <mergeCell ref="B30:E30"/>
    <mergeCell ref="B32:D32"/>
    <mergeCell ref="B41:E41"/>
    <mergeCell ref="B43:C43"/>
    <mergeCell ref="B54:E54"/>
  </mergeCells>
  <conditionalFormatting sqref="E37">
    <cfRule type="cellIs" dxfId="71" priority="15" operator="lessThan">
      <formula>0</formula>
    </cfRule>
    <cfRule type="cellIs" dxfId="70" priority="16" operator="greaterThan">
      <formula>0</formula>
    </cfRule>
  </conditionalFormatting>
  <conditionalFormatting sqref="E39">
    <cfRule type="cellIs" dxfId="69" priority="25" operator="lessThan">
      <formula>0</formula>
    </cfRule>
    <cfRule type="cellIs" dxfId="68" priority="26" operator="greaterThan">
      <formula>0</formula>
    </cfRule>
  </conditionalFormatting>
  <conditionalFormatting sqref="E50">
    <cfRule type="cellIs" dxfId="67" priority="13" operator="lessThan">
      <formula>0</formula>
    </cfRule>
    <cfRule type="cellIs" dxfId="66" priority="14" operator="greaterThan">
      <formula>0</formula>
    </cfRule>
  </conditionalFormatting>
  <conditionalFormatting sqref="E52">
    <cfRule type="cellIs" dxfId="65" priority="23" operator="lessThan">
      <formula>0</formula>
    </cfRule>
    <cfRule type="cellIs" dxfId="64" priority="24" operator="greaterThan">
      <formula>0</formula>
    </cfRule>
  </conditionalFormatting>
  <conditionalFormatting sqref="E63">
    <cfRule type="cellIs" dxfId="63" priority="11" operator="lessThan">
      <formula>0</formula>
    </cfRule>
    <cfRule type="cellIs" dxfId="62" priority="12" operator="greaterThan">
      <formula>0</formula>
    </cfRule>
  </conditionalFormatting>
  <conditionalFormatting sqref="E65">
    <cfRule type="cellIs" dxfId="61" priority="21" operator="lessThan">
      <formula>0</formula>
    </cfRule>
    <cfRule type="cellIs" dxfId="60" priority="22" operator="greaterThan">
      <formula>0</formula>
    </cfRule>
  </conditionalFormatting>
  <conditionalFormatting sqref="G10">
    <cfRule type="cellIs" dxfId="59" priority="19" operator="lessThan">
      <formula>0</formula>
    </cfRule>
    <cfRule type="cellIs" dxfId="58" priority="20" operator="greaterThan">
      <formula>0</formula>
    </cfRule>
  </conditionalFormatting>
  <conditionalFormatting sqref="G18">
    <cfRule type="cellIs" dxfId="57" priority="17" operator="lessThan">
      <formula>0</formula>
    </cfRule>
    <cfRule type="cellIs" dxfId="56" priority="18" operator="greaterThan">
      <formula>0</formula>
    </cfRule>
  </conditionalFormatting>
  <conditionalFormatting sqref="I27">
    <cfRule type="cellIs" dxfId="55" priority="9" operator="lessThan">
      <formula>0</formula>
    </cfRule>
    <cfRule type="cellIs" dxfId="54" priority="10" operator="greaterThan">
      <formula>0</formula>
    </cfRule>
  </conditionalFormatting>
  <conditionalFormatting sqref="Q16">
    <cfRule type="cellIs" dxfId="53" priority="7" operator="lessThan">
      <formula>0</formula>
    </cfRule>
    <cfRule type="cellIs" dxfId="52" priority="8" operator="greaterThan">
      <formula>0</formula>
    </cfRule>
  </conditionalFormatting>
  <conditionalFormatting sqref="Q26">
    <cfRule type="cellIs" dxfId="51" priority="5" operator="lessThan">
      <formula>0</formula>
    </cfRule>
    <cfRule type="cellIs" dxfId="50" priority="6" operator="greaterThan">
      <formula>0</formula>
    </cfRule>
  </conditionalFormatting>
  <conditionalFormatting sqref="U15">
    <cfRule type="cellIs" dxfId="49" priority="3" operator="lessThan">
      <formula>0</formula>
    </cfRule>
    <cfRule type="cellIs" dxfId="48" priority="4" operator="greaterThan">
      <formula>0</formula>
    </cfRule>
  </conditionalFormatting>
  <conditionalFormatting sqref="U29">
    <cfRule type="cellIs" dxfId="47" priority="1" operator="lessThan">
      <formula>0</formula>
    </cfRule>
    <cfRule type="cellIs" dxfId="46" priority="2" operator="greaterThan">
      <formula>0</formula>
    </cfRule>
  </conditionalFormatting>
  <dataValidations count="1">
    <dataValidation type="decimal" allowBlank="1" showInputMessage="1" showErrorMessage="1" sqref="H49:H50" xr:uid="{E1A9F365-C43A-437F-977E-9D3491A48AFD}">
      <formula1>G49</formula1>
      <formula2>G50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7C78-CE25-46EC-A2E2-247807A285C6}">
  <sheetPr>
    <tabColor theme="0" tint="-0.499984740745262"/>
  </sheetPr>
  <dimension ref="A1:Y59"/>
  <sheetViews>
    <sheetView showGridLines="0" showRowColHeaders="0" zoomScale="110" zoomScaleNormal="110" workbookViewId="0">
      <selection activeCell="B8" sqref="B8"/>
    </sheetView>
  </sheetViews>
  <sheetFormatPr defaultRowHeight="15" x14ac:dyDescent="0.25"/>
  <cols>
    <col min="1" max="1" width="4.42578125" customWidth="1"/>
    <col min="2" max="2" width="32.140625" customWidth="1"/>
    <col min="3" max="3" width="17.140625" style="7" customWidth="1"/>
    <col min="4" max="4" width="13.28515625" bestFit="1" customWidth="1"/>
    <col min="5" max="5" width="12" customWidth="1"/>
    <col min="6" max="7" width="12.140625" bestFit="1" customWidth="1"/>
    <col min="8" max="8" width="9.7109375" bestFit="1" customWidth="1"/>
    <col min="9" max="9" width="12.28515625" bestFit="1" customWidth="1"/>
    <col min="10" max="10" width="9.5703125" bestFit="1" customWidth="1"/>
    <col min="11" max="11" width="10.7109375" bestFit="1" customWidth="1"/>
    <col min="12" max="12" width="9.5703125" bestFit="1" customWidth="1"/>
    <col min="14" max="14" width="4.140625" customWidth="1"/>
    <col min="15" max="15" width="12.7109375" bestFit="1" customWidth="1"/>
    <col min="16" max="16" width="16.7109375" customWidth="1"/>
    <col min="17" max="17" width="13.7109375" bestFit="1" customWidth="1"/>
    <col min="18" max="18" width="1.5703125" customWidth="1"/>
    <col min="19" max="19" width="15.140625" customWidth="1"/>
    <col min="20" max="20" width="17.7109375" customWidth="1"/>
    <col min="21" max="21" width="13.42578125" customWidth="1"/>
    <col min="22" max="22" width="1.5703125" customWidth="1"/>
    <col min="23" max="25" width="17" customWidth="1"/>
  </cols>
  <sheetData>
    <row r="1" spans="1:25" ht="15.75" thickBot="1" x14ac:dyDescent="0.3"/>
    <row r="2" spans="1:25" ht="23.25" thickBot="1" x14ac:dyDescent="0.35">
      <c r="A2" s="8"/>
      <c r="B2" s="351" t="s">
        <v>53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3"/>
      <c r="O2" s="334" t="s">
        <v>27</v>
      </c>
      <c r="P2" s="334"/>
      <c r="Q2" s="334"/>
      <c r="R2" s="334"/>
      <c r="S2" s="334"/>
      <c r="T2" s="334"/>
      <c r="U2" s="334"/>
      <c r="W2" s="332" t="s">
        <v>58</v>
      </c>
      <c r="X2" s="332"/>
      <c r="Y2" s="332"/>
    </row>
    <row r="4" spans="1:25" ht="15" customHeight="1" x14ac:dyDescent="0.25">
      <c r="C4" s="103" t="s">
        <v>25</v>
      </c>
      <c r="D4" s="9" t="s">
        <v>0</v>
      </c>
      <c r="E4" s="9" t="s">
        <v>2</v>
      </c>
      <c r="F4" s="11"/>
      <c r="O4" s="372" t="s">
        <v>189</v>
      </c>
      <c r="P4" s="372"/>
      <c r="Q4" s="55">
        <f>I12</f>
        <v>0</v>
      </c>
      <c r="S4" s="360" t="s">
        <v>39</v>
      </c>
      <c r="T4" s="360"/>
      <c r="U4" s="111">
        <f>L17</f>
        <v>0</v>
      </c>
      <c r="W4" s="312" t="s">
        <v>90</v>
      </c>
      <c r="X4" s="312"/>
      <c r="Y4" s="312"/>
    </row>
    <row r="5" spans="1:25" x14ac:dyDescent="0.25">
      <c r="O5" s="104"/>
      <c r="P5" s="104"/>
      <c r="Q5" s="104"/>
      <c r="S5" s="360"/>
      <c r="T5" s="360"/>
      <c r="U5" s="111">
        <f>J18</f>
        <v>0</v>
      </c>
      <c r="W5" s="312"/>
      <c r="X5" s="312"/>
      <c r="Y5" s="312"/>
    </row>
    <row r="6" spans="1:25" x14ac:dyDescent="0.25">
      <c r="B6" s="132" t="s">
        <v>180</v>
      </c>
      <c r="C6" s="245"/>
      <c r="D6" s="118"/>
      <c r="E6" s="118"/>
      <c r="O6" s="371" t="s">
        <v>190</v>
      </c>
      <c r="P6" s="371"/>
      <c r="Q6" s="105">
        <f>D6</f>
        <v>0</v>
      </c>
      <c r="S6" s="51"/>
      <c r="T6" s="51"/>
      <c r="U6" s="51"/>
      <c r="W6" s="312"/>
      <c r="X6" s="312"/>
      <c r="Y6" s="312"/>
    </row>
    <row r="7" spans="1:25" x14ac:dyDescent="0.25">
      <c r="B7" s="11"/>
      <c r="O7" s="105"/>
      <c r="P7" s="104"/>
      <c r="Q7" s="104"/>
      <c r="S7" s="369" t="s">
        <v>193</v>
      </c>
      <c r="T7" s="369"/>
      <c r="U7" s="34">
        <f>D6</f>
        <v>0</v>
      </c>
      <c r="W7" s="42"/>
      <c r="X7" s="42"/>
      <c r="Y7" s="42"/>
    </row>
    <row r="8" spans="1:25" ht="15" customHeight="1" x14ac:dyDescent="0.25">
      <c r="B8" s="132" t="s">
        <v>181</v>
      </c>
      <c r="C8" s="245"/>
      <c r="D8" s="118"/>
      <c r="E8" s="118"/>
      <c r="F8" s="12"/>
      <c r="H8" s="10"/>
      <c r="O8" s="371" t="s">
        <v>191</v>
      </c>
      <c r="P8" s="371"/>
      <c r="Q8" s="105">
        <f>D8</f>
        <v>0</v>
      </c>
      <c r="S8" s="51"/>
      <c r="T8" s="51"/>
      <c r="U8" s="51"/>
      <c r="W8" s="312" t="s">
        <v>93</v>
      </c>
      <c r="X8" s="312"/>
      <c r="Y8" s="312"/>
    </row>
    <row r="9" spans="1:25" ht="15.75" thickBot="1" x14ac:dyDescent="0.3">
      <c r="B9" s="11"/>
      <c r="O9" s="104"/>
      <c r="P9" s="104"/>
      <c r="Q9" s="104"/>
      <c r="S9" s="369" t="s">
        <v>98</v>
      </c>
      <c r="T9" s="369"/>
      <c r="U9" s="51"/>
      <c r="W9" s="312"/>
      <c r="X9" s="312"/>
      <c r="Y9" s="312"/>
    </row>
    <row r="10" spans="1:25" ht="15.75" thickBot="1" x14ac:dyDescent="0.3">
      <c r="B10" s="11"/>
      <c r="D10" s="1" t="s">
        <v>3</v>
      </c>
      <c r="E10" s="2">
        <f>IF((D8&gt;D6),"erro",E6-E8)</f>
        <v>0</v>
      </c>
      <c r="F10" s="12"/>
      <c r="G10" s="114">
        <f>E10*C12</f>
        <v>0</v>
      </c>
      <c r="J10" s="10"/>
      <c r="O10" s="371" t="s">
        <v>192</v>
      </c>
      <c r="P10" s="371"/>
      <c r="Q10" s="105">
        <f>Q8-Q6</f>
        <v>0</v>
      </c>
      <c r="S10" s="51"/>
      <c r="T10" s="51"/>
      <c r="U10" s="51"/>
      <c r="W10" s="312"/>
      <c r="X10" s="312"/>
      <c r="Y10" s="312"/>
    </row>
    <row r="11" spans="1:25" ht="15.75" thickBot="1" x14ac:dyDescent="0.3">
      <c r="O11" s="104"/>
      <c r="P11" s="105"/>
      <c r="Q11" s="104"/>
      <c r="S11" s="357" t="s">
        <v>79</v>
      </c>
      <c r="T11" s="357"/>
      <c r="U11" s="357"/>
      <c r="W11" s="42"/>
      <c r="X11" s="42"/>
      <c r="Y11" s="42"/>
    </row>
    <row r="12" spans="1:25" ht="15.75" customHeight="1" thickBot="1" x14ac:dyDescent="0.3">
      <c r="B12" s="69" t="s">
        <v>9</v>
      </c>
      <c r="C12" s="141"/>
      <c r="D12" s="16"/>
      <c r="E12" s="17"/>
      <c r="F12" s="16"/>
      <c r="I12" s="31">
        <f>D8</f>
        <v>0</v>
      </c>
      <c r="L12" s="10"/>
      <c r="O12" s="371" t="s">
        <v>69</v>
      </c>
      <c r="P12" s="371"/>
      <c r="Q12" s="105">
        <f>E10</f>
        <v>0</v>
      </c>
      <c r="S12" s="51"/>
      <c r="T12" s="51"/>
      <c r="U12" s="51"/>
      <c r="W12" s="42"/>
      <c r="X12" s="42"/>
      <c r="Y12" s="42"/>
    </row>
    <row r="13" spans="1:25" x14ac:dyDescent="0.25">
      <c r="B13" s="15"/>
      <c r="C13"/>
      <c r="H13" s="19"/>
      <c r="O13" s="104"/>
      <c r="P13" s="104"/>
      <c r="Q13" s="104"/>
      <c r="S13" s="366" t="s">
        <v>77</v>
      </c>
      <c r="T13" s="366"/>
      <c r="U13" s="117">
        <f>(U4+U5)/2</f>
        <v>0</v>
      </c>
      <c r="W13" s="312" t="s">
        <v>176</v>
      </c>
      <c r="X13" s="312"/>
      <c r="Y13" s="312"/>
    </row>
    <row r="14" spans="1:25" x14ac:dyDescent="0.25">
      <c r="B14" s="69" t="s">
        <v>10</v>
      </c>
      <c r="C14" s="140"/>
      <c r="E14" s="20"/>
      <c r="F14" s="21"/>
      <c r="K14" s="10"/>
      <c r="O14" s="371" t="s">
        <v>70</v>
      </c>
      <c r="P14" s="371"/>
      <c r="Q14" s="105">
        <f>Q10+Q12</f>
        <v>0</v>
      </c>
      <c r="S14" s="366" t="s">
        <v>192</v>
      </c>
      <c r="T14" s="366"/>
      <c r="U14" s="117">
        <f>-(U7-U13)</f>
        <v>0</v>
      </c>
      <c r="W14" s="312"/>
      <c r="X14" s="312"/>
      <c r="Y14" s="312"/>
    </row>
    <row r="15" spans="1:25" x14ac:dyDescent="0.25">
      <c r="B15" s="15"/>
      <c r="C15"/>
      <c r="E15" s="20"/>
      <c r="F15" s="21"/>
      <c r="K15" s="10"/>
      <c r="O15" s="104"/>
      <c r="P15" s="104"/>
      <c r="Q15" s="104"/>
      <c r="S15" s="366" t="s">
        <v>71</v>
      </c>
      <c r="T15" s="366"/>
      <c r="U15" s="183">
        <f>G10+(U14*C12)</f>
        <v>0</v>
      </c>
      <c r="W15" s="312"/>
      <c r="X15" s="312"/>
      <c r="Y15" s="312"/>
    </row>
    <row r="16" spans="1:25" ht="15.75" thickBot="1" x14ac:dyDescent="0.3">
      <c r="B16" s="20" t="s">
        <v>11</v>
      </c>
      <c r="C16" s="3">
        <f>ABS(C12*E10)</f>
        <v>0</v>
      </c>
      <c r="E16" s="22"/>
      <c r="F16" s="22"/>
      <c r="K16" s="10"/>
      <c r="O16" s="115" t="s">
        <v>71</v>
      </c>
      <c r="P16" s="115"/>
      <c r="Q16" s="183">
        <f>Q14*C12</f>
        <v>0</v>
      </c>
    </row>
    <row r="17" spans="2:21" ht="15.75" thickBot="1" x14ac:dyDescent="0.3">
      <c r="B17" s="7"/>
      <c r="C17"/>
      <c r="L17" s="6">
        <f>D6</f>
        <v>0</v>
      </c>
    </row>
    <row r="18" spans="2:21" ht="15.75" thickBot="1" x14ac:dyDescent="0.3">
      <c r="B18" s="15"/>
      <c r="C18" s="10"/>
      <c r="E18" s="24">
        <f ca="1">C14-TODAY()</f>
        <v>-45121</v>
      </c>
      <c r="G18" s="114">
        <f>(D8-D6)*C12+E10*C12</f>
        <v>0</v>
      </c>
      <c r="J18" s="113">
        <f>D6-E10</f>
        <v>0</v>
      </c>
      <c r="K18" s="11"/>
      <c r="O18" s="367" t="s">
        <v>52</v>
      </c>
      <c r="P18" s="367"/>
      <c r="Q18" s="102">
        <f>L17</f>
        <v>0</v>
      </c>
      <c r="S18" s="360" t="s">
        <v>39</v>
      </c>
      <c r="T18" s="360"/>
      <c r="U18" s="111">
        <f>J18</f>
        <v>0</v>
      </c>
    </row>
    <row r="19" spans="2:21" ht="15" customHeight="1" x14ac:dyDescent="0.25">
      <c r="B19" s="314" t="s">
        <v>63</v>
      </c>
      <c r="C19" s="314"/>
      <c r="D19" s="314"/>
      <c r="E19" s="314"/>
      <c r="I19" s="20"/>
      <c r="J19" s="25"/>
      <c r="K19" s="25"/>
      <c r="O19" s="108"/>
      <c r="P19" s="108"/>
      <c r="Q19" s="108"/>
      <c r="S19" s="360"/>
      <c r="T19" s="360"/>
      <c r="U19" s="111">
        <f>I12</f>
        <v>0</v>
      </c>
    </row>
    <row r="20" spans="2:21" x14ac:dyDescent="0.25">
      <c r="B20" s="314"/>
      <c r="C20" s="314"/>
      <c r="D20" s="314"/>
      <c r="E20" s="314"/>
      <c r="H20" s="10"/>
      <c r="I20" s="7"/>
      <c r="J20" s="11"/>
      <c r="K20" s="11"/>
      <c r="O20" s="370" t="s">
        <v>98</v>
      </c>
      <c r="P20" s="370"/>
      <c r="Q20" s="370"/>
      <c r="S20" s="51"/>
      <c r="T20" s="51"/>
      <c r="U20" s="51"/>
    </row>
    <row r="21" spans="2:21" x14ac:dyDescent="0.25">
      <c r="I21" s="20"/>
      <c r="J21" s="25"/>
      <c r="K21" s="25"/>
      <c r="O21" s="108"/>
      <c r="P21" s="108"/>
      <c r="Q21" s="108"/>
      <c r="S21" s="369" t="s">
        <v>194</v>
      </c>
      <c r="T21" s="369"/>
      <c r="U21" s="34">
        <f>D6</f>
        <v>0</v>
      </c>
    </row>
    <row r="22" spans="2:21" x14ac:dyDescent="0.25">
      <c r="F22" s="10"/>
      <c r="O22" s="370" t="s">
        <v>97</v>
      </c>
      <c r="P22" s="370"/>
      <c r="Q22" s="370"/>
      <c r="S22" s="51"/>
      <c r="T22" s="51"/>
      <c r="U22" s="51"/>
    </row>
    <row r="23" spans="2:21" x14ac:dyDescent="0.25">
      <c r="O23" s="108"/>
      <c r="P23" s="108"/>
      <c r="Q23" s="108"/>
      <c r="S23" s="369" t="s">
        <v>98</v>
      </c>
      <c r="T23" s="369"/>
      <c r="U23" s="51"/>
    </row>
    <row r="24" spans="2:21" ht="27" x14ac:dyDescent="0.4">
      <c r="B24" s="311" t="s">
        <v>164</v>
      </c>
      <c r="C24" s="311"/>
      <c r="D24" s="311"/>
      <c r="E24" s="311"/>
      <c r="G24" s="332" t="s">
        <v>94</v>
      </c>
      <c r="H24" s="332"/>
      <c r="I24" s="332"/>
      <c r="O24" s="108" t="s">
        <v>74</v>
      </c>
      <c r="P24" s="108"/>
      <c r="Q24" s="109">
        <f>E10</f>
        <v>0</v>
      </c>
      <c r="S24" s="51"/>
      <c r="T24" s="51"/>
      <c r="U24" s="51"/>
    </row>
    <row r="25" spans="2:21" x14ac:dyDescent="0.25">
      <c r="B25" s="120"/>
      <c r="C25" s="129"/>
      <c r="D25" s="120"/>
      <c r="E25" s="120"/>
      <c r="O25" s="108"/>
      <c r="P25" s="108"/>
      <c r="Q25" s="108"/>
      <c r="S25" s="357" t="s">
        <v>80</v>
      </c>
      <c r="T25" s="357"/>
      <c r="U25" s="357"/>
    </row>
    <row r="26" spans="2:21" x14ac:dyDescent="0.25">
      <c r="B26" s="364" t="s">
        <v>182</v>
      </c>
      <c r="C26" s="364"/>
      <c r="D26" s="364"/>
      <c r="E26" s="216">
        <f>L17</f>
        <v>0</v>
      </c>
      <c r="G26" s="350" t="s">
        <v>28</v>
      </c>
      <c r="H26" s="350"/>
      <c r="I26" s="228">
        <v>29.9</v>
      </c>
      <c r="K26" s="10"/>
      <c r="O26" s="367" t="s">
        <v>75</v>
      </c>
      <c r="P26" s="367"/>
      <c r="Q26" s="183">
        <f>Q24*C12</f>
        <v>0</v>
      </c>
      <c r="S26" s="51"/>
      <c r="T26" s="51"/>
      <c r="U26" s="51"/>
    </row>
    <row r="27" spans="2:21" x14ac:dyDescent="0.25">
      <c r="S27" s="366" t="s">
        <v>77</v>
      </c>
      <c r="T27" s="366"/>
      <c r="U27" s="117">
        <f>(U18+U19)/2</f>
        <v>0</v>
      </c>
    </row>
    <row r="28" spans="2:21" x14ac:dyDescent="0.25">
      <c r="B28" s="175" t="s">
        <v>130</v>
      </c>
      <c r="C28" s="176" t="s">
        <v>131</v>
      </c>
      <c r="D28" s="175" t="s">
        <v>132</v>
      </c>
      <c r="E28" s="175" t="s">
        <v>133</v>
      </c>
      <c r="G28" s="350" t="s">
        <v>71</v>
      </c>
      <c r="H28" s="350"/>
      <c r="I28" s="192">
        <f>IF((I26&lt;I12),G18,IF(AND((I26&gt;I12),(I26&lt;J18)),G18-((I12-I26)*C12),IF(AND((I26&gt;=J18),(L17&gt;I26)),G18-((I12-I26)*C12),G10)))</f>
        <v>0</v>
      </c>
      <c r="K28" s="10"/>
      <c r="O28" s="112"/>
      <c r="P28" s="112"/>
      <c r="Q28" s="10"/>
      <c r="S28" s="366" t="s">
        <v>195</v>
      </c>
      <c r="T28" s="366"/>
      <c r="U28" s="117">
        <f>U27-U21</f>
        <v>0</v>
      </c>
    </row>
    <row r="29" spans="2:21" x14ac:dyDescent="0.25">
      <c r="B29" s="120"/>
      <c r="C29" s="129"/>
      <c r="D29" s="120"/>
      <c r="E29" s="120"/>
      <c r="K29" s="10"/>
      <c r="O29" s="112"/>
      <c r="P29" s="112"/>
      <c r="Q29" s="10"/>
      <c r="S29" s="366" t="s">
        <v>71</v>
      </c>
      <c r="T29" s="366"/>
      <c r="U29" s="183">
        <f>G10+(U28*C12)</f>
        <v>0</v>
      </c>
    </row>
    <row r="30" spans="2:21" x14ac:dyDescent="0.25">
      <c r="B30" s="251"/>
      <c r="C30" s="256"/>
      <c r="D30" s="252"/>
      <c r="E30" s="254"/>
      <c r="K30" s="10"/>
    </row>
    <row r="31" spans="2:21" x14ac:dyDescent="0.25">
      <c r="B31" s="234" t="s">
        <v>184</v>
      </c>
      <c r="C31" s="235"/>
      <c r="D31" s="271">
        <f>E6*C12</f>
        <v>0</v>
      </c>
      <c r="E31" s="237">
        <f>E30+D31-C31</f>
        <v>0</v>
      </c>
    </row>
    <row r="32" spans="2:21" x14ac:dyDescent="0.25">
      <c r="B32" s="249" t="s">
        <v>183</v>
      </c>
      <c r="C32" s="272">
        <f>E8*C12</f>
        <v>0</v>
      </c>
      <c r="D32" s="190"/>
      <c r="E32" s="183">
        <f>E31+D32-C32</f>
        <v>0</v>
      </c>
    </row>
    <row r="33" spans="2:8" x14ac:dyDescent="0.25">
      <c r="B33" s="251"/>
      <c r="C33" s="252"/>
      <c r="D33" s="253"/>
      <c r="E33" s="254"/>
    </row>
    <row r="34" spans="2:8" x14ac:dyDescent="0.25">
      <c r="B34" s="191"/>
      <c r="C34" s="220"/>
      <c r="D34" s="192"/>
      <c r="E34" s="192"/>
    </row>
    <row r="35" spans="2:8" ht="27" x14ac:dyDescent="0.4">
      <c r="B35" s="311" t="s">
        <v>164</v>
      </c>
      <c r="C35" s="311"/>
      <c r="D35" s="311"/>
      <c r="E35" s="311"/>
    </row>
    <row r="36" spans="2:8" x14ac:dyDescent="0.25">
      <c r="B36" s="120"/>
      <c r="C36" s="129"/>
      <c r="D36" s="120"/>
      <c r="E36" s="120"/>
    </row>
    <row r="37" spans="2:8" x14ac:dyDescent="0.25">
      <c r="B37" s="364" t="s">
        <v>167</v>
      </c>
      <c r="C37" s="364"/>
      <c r="D37" s="216">
        <f>I12</f>
        <v>0</v>
      </c>
      <c r="E37" s="216">
        <f>L17</f>
        <v>0</v>
      </c>
    </row>
    <row r="39" spans="2:8" x14ac:dyDescent="0.25">
      <c r="B39" s="175" t="s">
        <v>130</v>
      </c>
      <c r="C39" s="176" t="s">
        <v>131</v>
      </c>
      <c r="D39" s="175" t="s">
        <v>132</v>
      </c>
      <c r="E39" s="175" t="s">
        <v>133</v>
      </c>
    </row>
    <row r="40" spans="2:8" x14ac:dyDescent="0.25">
      <c r="B40" s="120"/>
      <c r="C40" s="129"/>
      <c r="D40" s="120"/>
      <c r="E40" s="120"/>
    </row>
    <row r="41" spans="2:8" x14ac:dyDescent="0.25">
      <c r="B41" s="260"/>
      <c r="C41" s="256"/>
      <c r="D41" s="261"/>
      <c r="E41" s="262"/>
    </row>
    <row r="42" spans="2:8" x14ac:dyDescent="0.25">
      <c r="B42" s="234" t="s">
        <v>184</v>
      </c>
      <c r="C42" s="235"/>
      <c r="D42" s="270">
        <f>D31</f>
        <v>0</v>
      </c>
      <c r="E42" s="259">
        <f>E41+D42-C42</f>
        <v>0</v>
      </c>
    </row>
    <row r="43" spans="2:8" x14ac:dyDescent="0.25">
      <c r="B43" s="249" t="s">
        <v>183</v>
      </c>
      <c r="C43" s="273">
        <f>C32</f>
        <v>0</v>
      </c>
      <c r="D43" s="219"/>
      <c r="E43" s="219">
        <f t="shared" ref="E43:E45" si="0">E42+D43-C43</f>
        <v>0</v>
      </c>
    </row>
    <row r="44" spans="2:8" x14ac:dyDescent="0.25">
      <c r="B44" s="187" t="s">
        <v>185</v>
      </c>
      <c r="C44" s="274">
        <f>C12*D6</f>
        <v>0</v>
      </c>
      <c r="D44" s="184"/>
      <c r="E44" s="181">
        <f t="shared" si="0"/>
        <v>0</v>
      </c>
      <c r="F44" s="365" t="s">
        <v>151</v>
      </c>
      <c r="G44" s="217">
        <f>I12</f>
        <v>0</v>
      </c>
      <c r="H44" s="368">
        <v>29.9</v>
      </c>
    </row>
    <row r="45" spans="2:8" x14ac:dyDescent="0.25">
      <c r="B45" s="263" t="s">
        <v>135</v>
      </c>
      <c r="C45" s="264"/>
      <c r="D45" s="275">
        <f>H44*C12</f>
        <v>0</v>
      </c>
      <c r="E45" s="183">
        <f t="shared" si="0"/>
        <v>0</v>
      </c>
      <c r="F45" s="365"/>
      <c r="G45" s="217">
        <f>L17</f>
        <v>0</v>
      </c>
      <c r="H45" s="368"/>
    </row>
    <row r="46" spans="2:8" x14ac:dyDescent="0.25">
      <c r="B46" s="260"/>
      <c r="C46" s="266"/>
      <c r="D46" s="267"/>
      <c r="E46" s="254"/>
    </row>
    <row r="48" spans="2:8" ht="27" x14ac:dyDescent="0.4">
      <c r="B48" s="311" t="s">
        <v>164</v>
      </c>
      <c r="C48" s="311"/>
      <c r="D48" s="311"/>
      <c r="E48" s="311"/>
    </row>
    <row r="49" spans="2:5" x14ac:dyDescent="0.25">
      <c r="B49" s="120"/>
      <c r="C49" s="129"/>
      <c r="D49" s="120"/>
      <c r="E49" s="120"/>
    </row>
    <row r="50" spans="2:5" x14ac:dyDescent="0.25">
      <c r="B50" s="364" t="s">
        <v>186</v>
      </c>
      <c r="C50" s="364"/>
      <c r="D50" s="364"/>
      <c r="E50" s="216">
        <f>D37</f>
        <v>0</v>
      </c>
    </row>
    <row r="52" spans="2:5" x14ac:dyDescent="0.25">
      <c r="B52" s="175" t="s">
        <v>130</v>
      </c>
      <c r="C52" s="176" t="s">
        <v>131</v>
      </c>
      <c r="D52" s="175" t="s">
        <v>132</v>
      </c>
      <c r="E52" s="175" t="s">
        <v>133</v>
      </c>
    </row>
    <row r="53" spans="2:5" x14ac:dyDescent="0.25">
      <c r="B53" s="120"/>
      <c r="C53" s="129"/>
      <c r="D53" s="120"/>
      <c r="E53" s="120"/>
    </row>
    <row r="54" spans="2:5" x14ac:dyDescent="0.25">
      <c r="B54" s="260"/>
      <c r="C54" s="256"/>
      <c r="D54" s="261"/>
      <c r="E54" s="262"/>
    </row>
    <row r="55" spans="2:5" x14ac:dyDescent="0.25">
      <c r="B55" s="257" t="s">
        <v>162</v>
      </c>
      <c r="C55" s="235"/>
      <c r="D55" s="270">
        <f>D31</f>
        <v>0</v>
      </c>
      <c r="E55" s="259">
        <f>E54+D55-C55</f>
        <v>0</v>
      </c>
    </row>
    <row r="56" spans="2:5" x14ac:dyDescent="0.25">
      <c r="B56" s="178" t="s">
        <v>163</v>
      </c>
      <c r="C56" s="273">
        <f>C32</f>
        <v>0</v>
      </c>
      <c r="D56" s="219"/>
      <c r="E56" s="219">
        <f t="shared" ref="E56:E58" si="1">E55+D56-C56</f>
        <v>0</v>
      </c>
    </row>
    <row r="57" spans="2:5" x14ac:dyDescent="0.25">
      <c r="B57" s="187" t="s">
        <v>187</v>
      </c>
      <c r="C57" s="274">
        <f>D6*C12</f>
        <v>0</v>
      </c>
      <c r="D57" s="184"/>
      <c r="E57" s="181">
        <f t="shared" si="1"/>
        <v>0</v>
      </c>
    </row>
    <row r="58" spans="2:5" x14ac:dyDescent="0.25">
      <c r="B58" s="263" t="s">
        <v>188</v>
      </c>
      <c r="C58" s="264"/>
      <c r="D58" s="275">
        <f>D8*C12</f>
        <v>0</v>
      </c>
      <c r="E58" s="200">
        <f t="shared" si="1"/>
        <v>0</v>
      </c>
    </row>
    <row r="59" spans="2:5" x14ac:dyDescent="0.25">
      <c r="B59" s="260"/>
      <c r="C59" s="266"/>
      <c r="D59" s="267"/>
      <c r="E59" s="254"/>
    </row>
  </sheetData>
  <sheetProtection sheet="1" objects="1" scenarios="1"/>
  <mergeCells count="42">
    <mergeCell ref="B50:D50"/>
    <mergeCell ref="B19:E20"/>
    <mergeCell ref="B24:E24"/>
    <mergeCell ref="G24:I24"/>
    <mergeCell ref="S25:U25"/>
    <mergeCell ref="B26:D26"/>
    <mergeCell ref="G26:H26"/>
    <mergeCell ref="S23:T23"/>
    <mergeCell ref="S28:T28"/>
    <mergeCell ref="S29:T29"/>
    <mergeCell ref="G28:H28"/>
    <mergeCell ref="B35:E35"/>
    <mergeCell ref="B37:C37"/>
    <mergeCell ref="F44:F45"/>
    <mergeCell ref="H44:H45"/>
    <mergeCell ref="B48:E48"/>
    <mergeCell ref="S11:U11"/>
    <mergeCell ref="B2:M2"/>
    <mergeCell ref="O2:U2"/>
    <mergeCell ref="W2:Y2"/>
    <mergeCell ref="O4:P4"/>
    <mergeCell ref="S4:T5"/>
    <mergeCell ref="W4:Y6"/>
    <mergeCell ref="O6:P6"/>
    <mergeCell ref="S9:T9"/>
    <mergeCell ref="S7:T7"/>
    <mergeCell ref="O8:P8"/>
    <mergeCell ref="W8:Y10"/>
    <mergeCell ref="O10:P10"/>
    <mergeCell ref="O12:P12"/>
    <mergeCell ref="S13:T13"/>
    <mergeCell ref="W13:Y15"/>
    <mergeCell ref="O14:P14"/>
    <mergeCell ref="S14:T14"/>
    <mergeCell ref="S15:T15"/>
    <mergeCell ref="O18:P18"/>
    <mergeCell ref="S27:T27"/>
    <mergeCell ref="S18:T19"/>
    <mergeCell ref="O20:Q20"/>
    <mergeCell ref="S21:T21"/>
    <mergeCell ref="O22:Q22"/>
    <mergeCell ref="O26:P26"/>
  </mergeCells>
  <conditionalFormatting sqref="E32:E33">
    <cfRule type="cellIs" dxfId="45" priority="11" operator="lessThan">
      <formula>0</formula>
    </cfRule>
    <cfRule type="cellIs" dxfId="44" priority="12" operator="greaterThan">
      <formula>0</formula>
    </cfRule>
  </conditionalFormatting>
  <conditionalFormatting sqref="E45:E46">
    <cfRule type="cellIs" dxfId="43" priority="13" operator="lessThan">
      <formula>0</formula>
    </cfRule>
    <cfRule type="cellIs" dxfId="42" priority="14" operator="greaterThan">
      <formula>0</formula>
    </cfRule>
  </conditionalFormatting>
  <conditionalFormatting sqref="E58:E59">
    <cfRule type="cellIs" dxfId="41" priority="9" operator="lessThan">
      <formula>0</formula>
    </cfRule>
    <cfRule type="cellIs" dxfId="40" priority="10" operator="greaterThan">
      <formula>0</formula>
    </cfRule>
  </conditionalFormatting>
  <conditionalFormatting sqref="G10">
    <cfRule type="cellIs" dxfId="39" priority="19" operator="lessThan">
      <formula>0</formula>
    </cfRule>
    <cfRule type="cellIs" dxfId="38" priority="20" operator="greaterThan">
      <formula>0</formula>
    </cfRule>
  </conditionalFormatting>
  <conditionalFormatting sqref="G18">
    <cfRule type="cellIs" dxfId="37" priority="17" operator="lessThan">
      <formula>0</formula>
    </cfRule>
    <cfRule type="cellIs" dxfId="36" priority="18" operator="greaterThan">
      <formula>0</formula>
    </cfRule>
  </conditionalFormatting>
  <conditionalFormatting sqref="I28">
    <cfRule type="cellIs" dxfId="35" priority="15" operator="lessThan">
      <formula>0</formula>
    </cfRule>
    <cfRule type="cellIs" dxfId="34" priority="16" operator="greaterThan">
      <formula>0</formula>
    </cfRule>
  </conditionalFormatting>
  <conditionalFormatting sqref="Q16">
    <cfRule type="cellIs" dxfId="33" priority="7" operator="lessThan">
      <formula>0</formula>
    </cfRule>
    <cfRule type="cellIs" dxfId="32" priority="8" operator="greaterThan">
      <formula>0</formula>
    </cfRule>
  </conditionalFormatting>
  <conditionalFormatting sqref="Q26">
    <cfRule type="cellIs" dxfId="31" priority="5" operator="lessThan">
      <formula>0</formula>
    </cfRule>
    <cfRule type="cellIs" dxfId="30" priority="6" operator="greaterThan">
      <formula>0</formula>
    </cfRule>
  </conditionalFormatting>
  <conditionalFormatting sqref="U15">
    <cfRule type="cellIs" dxfId="29" priority="1" operator="lessThan">
      <formula>0</formula>
    </cfRule>
    <cfRule type="cellIs" dxfId="28" priority="2" operator="greaterThan">
      <formula>0</formula>
    </cfRule>
  </conditionalFormatting>
  <conditionalFormatting sqref="U29">
    <cfRule type="cellIs" dxfId="27" priority="3" operator="lessThan">
      <formula>0</formula>
    </cfRule>
    <cfRule type="cellIs" dxfId="26" priority="4" operator="greaterThan">
      <formula>0</formula>
    </cfRule>
  </conditionalFormatting>
  <dataValidations count="1">
    <dataValidation type="decimal" allowBlank="1" showInputMessage="1" showErrorMessage="1" sqref="H44:H45" xr:uid="{32E14A2E-30EC-4E0F-9D66-44472D5AB9A3}">
      <formula1>G44</formula1>
      <formula2>G45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AVISOS</vt:lpstr>
      <vt:lpstr>LÇTO COBERTO CALL</vt:lpstr>
      <vt:lpstr>LÇTO COBERTO PUT</vt:lpstr>
      <vt:lpstr>LÇTO COBERTO PROTEGIDO</vt:lpstr>
      <vt:lpstr>BAHAMAS</vt:lpstr>
      <vt:lpstr>BAHAMAS 13.o</vt:lpstr>
      <vt:lpstr>TRAVA DE ALTA COM CALL</vt:lpstr>
      <vt:lpstr>TRAVA DE BAIXA COM CALL</vt:lpstr>
      <vt:lpstr>TRAVA DE ALTA COM PUT</vt:lpstr>
      <vt:lpstr>TRAVA DE BAIXA COM PUT</vt:lpstr>
      <vt:lpstr>VI 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NOTEBOOK</cp:lastModifiedBy>
  <dcterms:created xsi:type="dcterms:W3CDTF">2021-12-21T10:56:18Z</dcterms:created>
  <dcterms:modified xsi:type="dcterms:W3CDTF">2023-07-14T16:22:34Z</dcterms:modified>
</cp:coreProperties>
</file>